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Permit\ENGINEERING PW\Templates\"/>
    </mc:Choice>
  </mc:AlternateContent>
  <xr:revisionPtr revIDLastSave="0" documentId="13_ncr:1_{4FB426E2-4168-4566-8F6D-E94099DA9329}" xr6:coauthVersionLast="47" xr6:coauthVersionMax="47" xr10:uidLastSave="{00000000-0000-0000-0000-000000000000}"/>
  <bookViews>
    <workbookView xWindow="0" yWindow="0" windowWidth="19200" windowHeight="21000" tabRatio="699" activeTab="2" xr2:uid="{00000000-000D-0000-FFFF-FFFF00000000}"/>
  </bookViews>
  <sheets>
    <sheet name="ADU Dev Fees" sheetId="8" r:id="rId1"/>
    <sheet name="Worksheet" sheetId="6" r:id="rId2"/>
    <sheet name="Fee Schedule" sheetId="1" r:id="rId3"/>
    <sheet name="Discounts" sheetId="5" r:id="rId4"/>
    <sheet name="Instructions" sheetId="7" r:id="rId5"/>
  </sheets>
  <definedNames>
    <definedName name="Agencies" localSheetId="0">#REF!</definedName>
    <definedName name="Agencies">Discounts!$B$6:$B$18</definedName>
    <definedName name="FeeValues" localSheetId="0">#REF!</definedName>
    <definedName name="FeeValues">'Fee Schedule'!$B$6:$G$72</definedName>
    <definedName name="FeeValuesInfill" localSheetId="0">#REF!</definedName>
    <definedName name="FeeValuesInfill">'Fee Schedule'!$B$6:$N$72</definedName>
    <definedName name="LandUses" localSheetId="0">#REF!</definedName>
    <definedName name="LandUses">'Fee Schedule'!$B$6:$B$72</definedName>
    <definedName name="_xlnm.Print_Area" localSheetId="0">'ADU Dev Fees'!$A$1:$F$24</definedName>
    <definedName name="_xlnm.Print_Area" localSheetId="4">Instructions!$A$1:$O$218</definedName>
    <definedName name="_xlnm.Print_Area">#REF!</definedName>
    <definedName name="PRINT_AREA_MI" localSheetId="0">#REF!</definedName>
    <definedName name="PRINT_AREA_MI">#REF!</definedName>
    <definedName name="_xlnm.Print_Titles" localSheetId="4">Instructions!$1:$3</definedName>
    <definedName name="Zones" localSheetId="0">#REF!</definedName>
    <definedName name="Zones">'Fee Schedule'!$D$5:$G$5</definedName>
    <definedName name="ZonesInfill" localSheetId="0">#REF!</definedName>
    <definedName name="ZonesInfill">'Fee Schedule'!$K$5:$N$5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2" i="1" l="1"/>
  <c r="H72" i="1"/>
  <c r="G72" i="1"/>
  <c r="F72" i="1"/>
  <c r="E72" i="1"/>
  <c r="D72" i="1"/>
  <c r="J71" i="1"/>
  <c r="H71" i="1"/>
  <c r="G71" i="1"/>
  <c r="F71" i="1"/>
  <c r="E71" i="1"/>
  <c r="D71" i="1"/>
  <c r="J70" i="1"/>
  <c r="C70" i="1"/>
  <c r="J68" i="1"/>
  <c r="C68" i="1"/>
  <c r="O67" i="1"/>
  <c r="N67" i="1"/>
  <c r="M67" i="1"/>
  <c r="L67" i="1"/>
  <c r="J67" i="1"/>
  <c r="K67" i="1" s="1"/>
  <c r="H67" i="1"/>
  <c r="G67" i="1"/>
  <c r="F67" i="1"/>
  <c r="E67" i="1"/>
  <c r="D67" i="1"/>
  <c r="O66" i="1"/>
  <c r="N66" i="1"/>
  <c r="M66" i="1"/>
  <c r="L66" i="1"/>
  <c r="K66" i="1"/>
  <c r="J66" i="1"/>
  <c r="H66" i="1"/>
  <c r="G66" i="1"/>
  <c r="F66" i="1"/>
  <c r="E66" i="1"/>
  <c r="D66" i="1"/>
  <c r="M65" i="1"/>
  <c r="J65" i="1"/>
  <c r="H65" i="1"/>
  <c r="G65" i="1"/>
  <c r="F65" i="1"/>
  <c r="E65" i="1"/>
  <c r="D65" i="1"/>
  <c r="J64" i="1"/>
  <c r="O64" i="1" s="1"/>
  <c r="H64" i="1"/>
  <c r="G64" i="1"/>
  <c r="F64" i="1"/>
  <c r="E64" i="1"/>
  <c r="D64" i="1"/>
  <c r="J63" i="1"/>
  <c r="C63" i="1"/>
  <c r="J61" i="1"/>
  <c r="C61" i="1"/>
  <c r="O60" i="1"/>
  <c r="N60" i="1"/>
  <c r="M60" i="1"/>
  <c r="L60" i="1"/>
  <c r="J60" i="1"/>
  <c r="K60" i="1" s="1"/>
  <c r="H60" i="1"/>
  <c r="G60" i="1"/>
  <c r="F60" i="1"/>
  <c r="E60" i="1"/>
  <c r="D60" i="1"/>
  <c r="O59" i="1"/>
  <c r="N59" i="1"/>
  <c r="M59" i="1"/>
  <c r="L59" i="1"/>
  <c r="K59" i="1"/>
  <c r="J59" i="1"/>
  <c r="H59" i="1"/>
  <c r="G59" i="1"/>
  <c r="F59" i="1"/>
  <c r="E59" i="1"/>
  <c r="D59" i="1"/>
  <c r="J58" i="1"/>
  <c r="K58" i="1" s="1"/>
  <c r="H58" i="1"/>
  <c r="G58" i="1"/>
  <c r="F58" i="1"/>
  <c r="E58" i="1"/>
  <c r="D58" i="1"/>
  <c r="O57" i="1"/>
  <c r="L57" i="1"/>
  <c r="K57" i="1"/>
  <c r="J57" i="1"/>
  <c r="H57" i="1"/>
  <c r="G57" i="1"/>
  <c r="F57" i="1"/>
  <c r="E57" i="1"/>
  <c r="D57" i="1"/>
  <c r="J56" i="1"/>
  <c r="H56" i="1"/>
  <c r="G56" i="1"/>
  <c r="F56" i="1"/>
  <c r="E56" i="1"/>
  <c r="D56" i="1"/>
  <c r="J55" i="1"/>
  <c r="C55" i="1"/>
  <c r="J53" i="1"/>
  <c r="C53" i="1"/>
  <c r="N52" i="1"/>
  <c r="L52" i="1"/>
  <c r="K52" i="1"/>
  <c r="J52" i="1"/>
  <c r="H52" i="1"/>
  <c r="G52" i="1"/>
  <c r="F52" i="1"/>
  <c r="E52" i="1"/>
  <c r="D52" i="1"/>
  <c r="M51" i="1"/>
  <c r="J51" i="1"/>
  <c r="H51" i="1"/>
  <c r="G51" i="1"/>
  <c r="F51" i="1"/>
  <c r="E51" i="1"/>
  <c r="D51" i="1"/>
  <c r="J50" i="1"/>
  <c r="O50" i="1" s="1"/>
  <c r="H50" i="1"/>
  <c r="G50" i="1"/>
  <c r="F50" i="1"/>
  <c r="E50" i="1"/>
  <c r="D50" i="1"/>
  <c r="J49" i="1"/>
  <c r="H49" i="1"/>
  <c r="G49" i="1"/>
  <c r="F49" i="1"/>
  <c r="E49" i="1"/>
  <c r="D49" i="1"/>
  <c r="J48" i="1"/>
  <c r="H48" i="1"/>
  <c r="G48" i="1"/>
  <c r="F48" i="1"/>
  <c r="E48" i="1"/>
  <c r="D48" i="1"/>
  <c r="J47" i="1"/>
  <c r="K47" i="1" s="1"/>
  <c r="H47" i="1"/>
  <c r="G47" i="1"/>
  <c r="F47" i="1"/>
  <c r="E47" i="1"/>
  <c r="D47" i="1"/>
  <c r="N46" i="1"/>
  <c r="M46" i="1"/>
  <c r="L46" i="1"/>
  <c r="K46" i="1"/>
  <c r="J46" i="1"/>
  <c r="H46" i="1"/>
  <c r="G46" i="1"/>
  <c r="F46" i="1"/>
  <c r="E46" i="1"/>
  <c r="D46" i="1"/>
  <c r="J45" i="1"/>
  <c r="L45" i="1" s="1"/>
  <c r="H45" i="1"/>
  <c r="G45" i="1"/>
  <c r="F45" i="1"/>
  <c r="E45" i="1"/>
  <c r="D45" i="1"/>
  <c r="L44" i="1"/>
  <c r="J44" i="1"/>
  <c r="H44" i="1"/>
  <c r="G44" i="1"/>
  <c r="F44" i="1"/>
  <c r="E44" i="1"/>
  <c r="D44" i="1"/>
  <c r="J43" i="1"/>
  <c r="O43" i="1" s="1"/>
  <c r="H43" i="1"/>
  <c r="G43" i="1"/>
  <c r="F43" i="1"/>
  <c r="E43" i="1"/>
  <c r="D43" i="1"/>
  <c r="N42" i="1"/>
  <c r="J42" i="1"/>
  <c r="H42" i="1"/>
  <c r="G42" i="1"/>
  <c r="F42" i="1"/>
  <c r="E42" i="1"/>
  <c r="D42" i="1"/>
  <c r="N41" i="1"/>
  <c r="M41" i="1"/>
  <c r="L41" i="1"/>
  <c r="J41" i="1"/>
  <c r="K41" i="1" s="1"/>
  <c r="H41" i="1"/>
  <c r="G41" i="1"/>
  <c r="F41" i="1"/>
  <c r="E41" i="1"/>
  <c r="D41" i="1"/>
  <c r="N40" i="1"/>
  <c r="K40" i="1"/>
  <c r="J40" i="1"/>
  <c r="H40" i="1"/>
  <c r="G40" i="1"/>
  <c r="F40" i="1"/>
  <c r="E40" i="1"/>
  <c r="D40" i="1"/>
  <c r="M39" i="1"/>
  <c r="L39" i="1"/>
  <c r="K39" i="1"/>
  <c r="J39" i="1"/>
  <c r="H39" i="1"/>
  <c r="G39" i="1"/>
  <c r="F39" i="1"/>
  <c r="E39" i="1"/>
  <c r="D39" i="1"/>
  <c r="J38" i="1"/>
  <c r="K38" i="1" s="1"/>
  <c r="H38" i="1"/>
  <c r="G38" i="1"/>
  <c r="F38" i="1"/>
  <c r="E38" i="1"/>
  <c r="D38" i="1"/>
  <c r="N37" i="1"/>
  <c r="K37" i="1"/>
  <c r="J37" i="1"/>
  <c r="H37" i="1"/>
  <c r="G37" i="1"/>
  <c r="F37" i="1"/>
  <c r="E37" i="1"/>
  <c r="D37" i="1"/>
  <c r="J36" i="1"/>
  <c r="M36" i="1" s="1"/>
  <c r="H36" i="1"/>
  <c r="G36" i="1"/>
  <c r="F36" i="1"/>
  <c r="E36" i="1"/>
  <c r="D36" i="1"/>
  <c r="N35" i="1"/>
  <c r="M35" i="1"/>
  <c r="J35" i="1"/>
  <c r="K35" i="1" s="1"/>
  <c r="H35" i="1"/>
  <c r="G35" i="1"/>
  <c r="F35" i="1"/>
  <c r="E35" i="1"/>
  <c r="D35" i="1"/>
  <c r="N34" i="1"/>
  <c r="M34" i="1"/>
  <c r="L34" i="1"/>
  <c r="K34" i="1"/>
  <c r="J34" i="1"/>
  <c r="H34" i="1"/>
  <c r="G34" i="1"/>
  <c r="F34" i="1"/>
  <c r="E34" i="1"/>
  <c r="D34" i="1"/>
  <c r="M33" i="1"/>
  <c r="J33" i="1"/>
  <c r="H33" i="1"/>
  <c r="G33" i="1"/>
  <c r="F33" i="1"/>
  <c r="E33" i="1"/>
  <c r="D33" i="1"/>
  <c r="J32" i="1"/>
  <c r="O32" i="1" s="1"/>
  <c r="H32" i="1"/>
  <c r="G32" i="1"/>
  <c r="F32" i="1"/>
  <c r="E32" i="1"/>
  <c r="D32" i="1"/>
  <c r="J31" i="1"/>
  <c r="H31" i="1"/>
  <c r="G31" i="1"/>
  <c r="F31" i="1"/>
  <c r="E31" i="1"/>
  <c r="D31" i="1"/>
  <c r="J30" i="1"/>
  <c r="O30" i="1" s="1"/>
  <c r="H30" i="1"/>
  <c r="G30" i="1"/>
  <c r="F30" i="1"/>
  <c r="E30" i="1"/>
  <c r="D30" i="1"/>
  <c r="J29" i="1"/>
  <c r="K29" i="1" s="1"/>
  <c r="H29" i="1"/>
  <c r="G29" i="1"/>
  <c r="F29" i="1"/>
  <c r="E29" i="1"/>
  <c r="D29" i="1"/>
  <c r="N28" i="1"/>
  <c r="M28" i="1"/>
  <c r="L28" i="1"/>
  <c r="K28" i="1"/>
  <c r="J28" i="1"/>
  <c r="H28" i="1"/>
  <c r="G28" i="1"/>
  <c r="F28" i="1"/>
  <c r="E28" i="1"/>
  <c r="D28" i="1"/>
  <c r="J27" i="1"/>
  <c r="H27" i="1"/>
  <c r="G27" i="1"/>
  <c r="F27" i="1"/>
  <c r="E27" i="1"/>
  <c r="D27" i="1"/>
  <c r="L26" i="1"/>
  <c r="J26" i="1"/>
  <c r="H26" i="1"/>
  <c r="G26" i="1"/>
  <c r="F26" i="1"/>
  <c r="E26" i="1"/>
  <c r="D26" i="1"/>
  <c r="J25" i="1"/>
  <c r="N25" i="1" s="1"/>
  <c r="H25" i="1"/>
  <c r="G25" i="1"/>
  <c r="F25" i="1"/>
  <c r="E25" i="1"/>
  <c r="D25" i="1"/>
  <c r="N24" i="1"/>
  <c r="J24" i="1"/>
  <c r="H24" i="1"/>
  <c r="G24" i="1"/>
  <c r="F24" i="1"/>
  <c r="E24" i="1"/>
  <c r="D24" i="1"/>
  <c r="N23" i="1"/>
  <c r="M23" i="1"/>
  <c r="L23" i="1"/>
  <c r="J23" i="1"/>
  <c r="K23" i="1" s="1"/>
  <c r="H23" i="1"/>
  <c r="G23" i="1"/>
  <c r="F23" i="1"/>
  <c r="E23" i="1"/>
  <c r="D23" i="1"/>
  <c r="N22" i="1"/>
  <c r="K22" i="1"/>
  <c r="J22" i="1"/>
  <c r="H22" i="1"/>
  <c r="G22" i="1"/>
  <c r="F22" i="1"/>
  <c r="E22" i="1"/>
  <c r="D22" i="1"/>
  <c r="J21" i="1"/>
  <c r="C21" i="1"/>
  <c r="O20" i="1"/>
  <c r="O26" i="1" s="1"/>
  <c r="N20" i="1"/>
  <c r="N47" i="1" s="1"/>
  <c r="M20" i="1"/>
  <c r="M40" i="1" s="1"/>
  <c r="L20" i="1"/>
  <c r="L35" i="1" s="1"/>
  <c r="K20" i="1"/>
  <c r="J20" i="1"/>
  <c r="J19" i="1"/>
  <c r="C19" i="1"/>
  <c r="J18" i="1"/>
  <c r="N18" i="1" s="1"/>
  <c r="H18" i="1"/>
  <c r="G18" i="1"/>
  <c r="F18" i="1"/>
  <c r="E18" i="1"/>
  <c r="D18" i="1"/>
  <c r="O17" i="1"/>
  <c r="N17" i="1"/>
  <c r="J17" i="1"/>
  <c r="H17" i="1"/>
  <c r="G17" i="1"/>
  <c r="F17" i="1"/>
  <c r="E17" i="1"/>
  <c r="D17" i="1"/>
  <c r="O16" i="1"/>
  <c r="N16" i="1"/>
  <c r="M16" i="1"/>
  <c r="L16" i="1"/>
  <c r="J16" i="1"/>
  <c r="K16" i="1" s="1"/>
  <c r="H16" i="1"/>
  <c r="G16" i="1"/>
  <c r="F16" i="1"/>
  <c r="E16" i="1"/>
  <c r="D16" i="1"/>
  <c r="O15" i="1"/>
  <c r="N15" i="1"/>
  <c r="M15" i="1"/>
  <c r="L15" i="1"/>
  <c r="K15" i="1"/>
  <c r="J15" i="1"/>
  <c r="H15" i="1"/>
  <c r="G15" i="1"/>
  <c r="F15" i="1"/>
  <c r="E15" i="1"/>
  <c r="D15" i="1"/>
  <c r="M14" i="1"/>
  <c r="L14" i="1"/>
  <c r="J14" i="1"/>
  <c r="H14" i="1"/>
  <c r="G14" i="1"/>
  <c r="F14" i="1"/>
  <c r="E14" i="1"/>
  <c r="D14" i="1"/>
  <c r="J13" i="1"/>
  <c r="H13" i="1"/>
  <c r="G13" i="1"/>
  <c r="F13" i="1"/>
  <c r="E13" i="1"/>
  <c r="D13" i="1"/>
  <c r="O12" i="1"/>
  <c r="N12" i="1"/>
  <c r="J12" i="1"/>
  <c r="H12" i="1"/>
  <c r="G12" i="1"/>
  <c r="F12" i="1"/>
  <c r="E12" i="1"/>
  <c r="D12" i="1"/>
  <c r="J11" i="1"/>
  <c r="H11" i="1"/>
  <c r="G11" i="1"/>
  <c r="F11" i="1"/>
  <c r="E11" i="1"/>
  <c r="D11" i="1"/>
  <c r="O10" i="1"/>
  <c r="N10" i="1"/>
  <c r="M10" i="1"/>
  <c r="L10" i="1"/>
  <c r="J10" i="1"/>
  <c r="K10" i="1" s="1"/>
  <c r="H10" i="1"/>
  <c r="G10" i="1"/>
  <c r="F10" i="1"/>
  <c r="E10" i="1"/>
  <c r="D10" i="1"/>
  <c r="O9" i="1"/>
  <c r="N9" i="1"/>
  <c r="M9" i="1"/>
  <c r="L9" i="1"/>
  <c r="K9" i="1"/>
  <c r="J9" i="1"/>
  <c r="H9" i="1"/>
  <c r="G9" i="1"/>
  <c r="F9" i="1"/>
  <c r="E9" i="1"/>
  <c r="D9" i="1"/>
  <c r="J8" i="1"/>
  <c r="H8" i="1"/>
  <c r="G8" i="1"/>
  <c r="F8" i="1"/>
  <c r="E8" i="1"/>
  <c r="D8" i="1"/>
  <c r="J7" i="1"/>
  <c r="C7" i="1"/>
  <c r="O29" i="1" l="1"/>
  <c r="O31" i="1"/>
  <c r="L48" i="1"/>
  <c r="K48" i="1"/>
  <c r="O49" i="1"/>
  <c r="O8" i="1"/>
  <c r="N8" i="1"/>
  <c r="L11" i="1"/>
  <c r="K11" i="1"/>
  <c r="O52" i="1"/>
  <c r="O24" i="1"/>
  <c r="O27" i="1"/>
  <c r="N27" i="1"/>
  <c r="K32" i="1"/>
  <c r="O44" i="1"/>
  <c r="N71" i="1"/>
  <c r="M71" i="1"/>
  <c r="L71" i="1"/>
  <c r="K8" i="1"/>
  <c r="M11" i="1"/>
  <c r="K18" i="1"/>
  <c r="O35" i="1"/>
  <c r="O37" i="1"/>
  <c r="K43" i="1"/>
  <c r="N48" i="1"/>
  <c r="L50" i="1"/>
  <c r="M56" i="1"/>
  <c r="L56" i="1"/>
  <c r="L64" i="1"/>
  <c r="L8" i="1"/>
  <c r="L27" i="1"/>
  <c r="L29" i="1"/>
  <c r="M31" i="1"/>
  <c r="L31" i="1"/>
  <c r="O33" i="1"/>
  <c r="N33" i="1"/>
  <c r="N43" i="1"/>
  <c r="L47" i="1"/>
  <c r="O48" i="1"/>
  <c r="M49" i="1"/>
  <c r="L49" i="1"/>
  <c r="O51" i="1"/>
  <c r="N51" i="1"/>
  <c r="M52" i="1"/>
  <c r="K56" i="1"/>
  <c r="O65" i="1"/>
  <c r="N65" i="1"/>
  <c r="O71" i="1"/>
  <c r="O72" i="1"/>
  <c r="N72" i="1"/>
  <c r="M72" i="1"/>
  <c r="L30" i="1"/>
  <c r="K30" i="1"/>
  <c r="N50" i="1"/>
  <c r="M50" i="1"/>
  <c r="N13" i="1"/>
  <c r="M13" i="1"/>
  <c r="M25" i="1"/>
  <c r="L25" i="1"/>
  <c r="M30" i="1"/>
  <c r="O42" i="1"/>
  <c r="M48" i="1"/>
  <c r="K13" i="1"/>
  <c r="N30" i="1"/>
  <c r="L36" i="1"/>
  <c r="K36" i="1"/>
  <c r="N38" i="1"/>
  <c r="M38" i="1"/>
  <c r="O58" i="1"/>
  <c r="N58" i="1"/>
  <c r="K71" i="1"/>
  <c r="O13" i="1"/>
  <c r="L22" i="1"/>
  <c r="O23" i="1"/>
  <c r="L40" i="1"/>
  <c r="O41" i="1"/>
  <c r="L42" i="1"/>
  <c r="K42" i="1"/>
  <c r="N44" i="1"/>
  <c r="M44" i="1"/>
  <c r="N32" i="1"/>
  <c r="M32" i="1"/>
  <c r="O47" i="1"/>
  <c r="N64" i="1"/>
  <c r="M64" i="1"/>
  <c r="M18" i="1"/>
  <c r="L18" i="1"/>
  <c r="M43" i="1"/>
  <c r="L43" i="1"/>
  <c r="O45" i="1"/>
  <c r="N45" i="1"/>
  <c r="K50" i="1"/>
  <c r="K64" i="1"/>
  <c r="K25" i="1"/>
  <c r="K27" i="1"/>
  <c r="L32" i="1"/>
  <c r="K45" i="1"/>
  <c r="N11" i="1"/>
  <c r="L13" i="1"/>
  <c r="M8" i="1"/>
  <c r="O11" i="1"/>
  <c r="M12" i="1"/>
  <c r="L12" i="1"/>
  <c r="O14" i="1"/>
  <c r="N14" i="1"/>
  <c r="L17" i="1"/>
  <c r="K17" i="1"/>
  <c r="O18" i="1"/>
  <c r="L24" i="1"/>
  <c r="K24" i="1"/>
  <c r="O25" i="1"/>
  <c r="N26" i="1"/>
  <c r="M26" i="1"/>
  <c r="M27" i="1"/>
  <c r="M29" i="1"/>
  <c r="K31" i="1"/>
  <c r="K33" i="1"/>
  <c r="N36" i="1"/>
  <c r="L38" i="1"/>
  <c r="M45" i="1"/>
  <c r="M47" i="1"/>
  <c r="K49" i="1"/>
  <c r="K51" i="1"/>
  <c r="N56" i="1"/>
  <c r="L58" i="1"/>
  <c r="K65" i="1"/>
  <c r="K72" i="1"/>
  <c r="K12" i="1"/>
  <c r="K14" i="1"/>
  <c r="M17" i="1"/>
  <c r="M22" i="1"/>
  <c r="M24" i="1"/>
  <c r="K26" i="1"/>
  <c r="N29" i="1"/>
  <c r="N31" i="1"/>
  <c r="L33" i="1"/>
  <c r="O36" i="1"/>
  <c r="M37" i="1"/>
  <c r="L37" i="1"/>
  <c r="O38" i="1"/>
  <c r="O39" i="1"/>
  <c r="N39" i="1"/>
  <c r="M42" i="1"/>
  <c r="K44" i="1"/>
  <c r="N49" i="1"/>
  <c r="L51" i="1"/>
  <c r="O56" i="1"/>
  <c r="N57" i="1"/>
  <c r="M57" i="1"/>
  <c r="M58" i="1"/>
  <c r="L65" i="1"/>
  <c r="L72" i="1"/>
  <c r="O22" i="1"/>
  <c r="O28" i="1"/>
  <c r="O34" i="1"/>
  <c r="O40" i="1"/>
  <c r="O46" i="1"/>
  <c r="E7" i="8" l="1"/>
  <c r="E12" i="8" l="1"/>
  <c r="C34" i="6"/>
  <c r="E8" i="8" l="1"/>
  <c r="G14" i="6" l="1"/>
  <c r="G13" i="6"/>
  <c r="G12" i="6"/>
  <c r="G11" i="6"/>
  <c r="C16" i="6" l="1"/>
  <c r="E16" i="6" s="1"/>
  <c r="C13" i="6"/>
  <c r="E13" i="6" s="1"/>
  <c r="G20" i="6"/>
  <c r="C10" i="6"/>
  <c r="E10" i="6" s="1"/>
  <c r="C12" i="6"/>
  <c r="E12" i="6" s="1"/>
  <c r="C14" i="6"/>
  <c r="E14" i="6" s="1"/>
  <c r="D19" i="6"/>
  <c r="C11" i="6"/>
  <c r="E11" i="6" s="1"/>
  <c r="E20" i="6"/>
  <c r="G10" i="6"/>
  <c r="G18" i="6" s="1"/>
  <c r="E18" i="6" l="1"/>
  <c r="E19" i="6" s="1"/>
  <c r="E21" i="6" s="1"/>
  <c r="G19" i="6"/>
  <c r="G21" i="6" s="1"/>
  <c r="E14" i="8" l="1"/>
  <c r="E23" i="8" s="1"/>
</calcChain>
</file>

<file path=xl/sharedStrings.xml><?xml version="1.0" encoding="utf-8"?>
<sst xmlns="http://schemas.openxmlformats.org/spreadsheetml/2006/main" count="286" uniqueCount="169">
  <si>
    <t>Regional Development Impact Fees</t>
  </si>
  <si>
    <t>Fee Schedule By Land Use</t>
  </si>
  <si>
    <t>LAND USE DESIGNATION</t>
  </si>
  <si>
    <t>NORTH COUNTY</t>
  </si>
  <si>
    <t>GREATER SALINAS</t>
  </si>
  <si>
    <t>SOUTH COUNTY</t>
  </si>
  <si>
    <t>Single-Family</t>
  </si>
  <si>
    <t>Apartment</t>
  </si>
  <si>
    <t>Condo/Townhome</t>
  </si>
  <si>
    <t>Building Materials and Lumber Store</t>
  </si>
  <si>
    <t>Free-Standing Discount Superstore</t>
  </si>
  <si>
    <t>Specialty Retail Center</t>
  </si>
  <si>
    <t>Free-Standing Discount Store</t>
  </si>
  <si>
    <t>Hardware/Paint Store</t>
  </si>
  <si>
    <t>Nursery (Garden Center)</t>
  </si>
  <si>
    <t>Nursery (Wholesale)</t>
  </si>
  <si>
    <t>Shopping Center</t>
  </si>
  <si>
    <t>Factory Outlet Center</t>
  </si>
  <si>
    <t>New Car Sales</t>
  </si>
  <si>
    <t>Automobile Parts Sales</t>
  </si>
  <si>
    <t>Tire Store</t>
  </si>
  <si>
    <t>Tire Superstore</t>
  </si>
  <si>
    <t>Supermarket</t>
  </si>
  <si>
    <t>Discount Supermarket</t>
  </si>
  <si>
    <t>Discount Club</t>
  </si>
  <si>
    <t>Home Improvement Superstore</t>
  </si>
  <si>
    <t>Electronics Superstore</t>
  </si>
  <si>
    <t>Apparel Store</t>
  </si>
  <si>
    <t>Arts and Crafts Store</t>
  </si>
  <si>
    <t>Pharmacy/Drugstore (no Drive-Thru)</t>
  </si>
  <si>
    <t>Pharmacy/Drugstore (Drive-Thru)</t>
  </si>
  <si>
    <t>Furniture Store</t>
  </si>
  <si>
    <t>General Office</t>
  </si>
  <si>
    <t>Office Park</t>
  </si>
  <si>
    <t>Business Park</t>
  </si>
  <si>
    <t>Light Industrial</t>
  </si>
  <si>
    <t>Heavy Industrial</t>
  </si>
  <si>
    <t>Warehouse</t>
  </si>
  <si>
    <t>Manufacturing</t>
  </si>
  <si>
    <t>Hotel</t>
  </si>
  <si>
    <t>Motel</t>
  </si>
  <si>
    <t>Fee per Trip</t>
  </si>
  <si>
    <t>Office (Square Feet)</t>
  </si>
  <si>
    <t>Industrial / Agriculture (Square Feet)</t>
  </si>
  <si>
    <t>Lodging (Room)</t>
  </si>
  <si>
    <t>PENINSULA / SOUTH COAST</t>
  </si>
  <si>
    <t>Residential Average (Dwelling Unit)</t>
  </si>
  <si>
    <t>Multi-Family / Auxiliary Unit</t>
  </si>
  <si>
    <t>Retail (Square Feet)</t>
  </si>
  <si>
    <t>Discount Home Furnishing</t>
  </si>
  <si>
    <t>City of Gonzales</t>
  </si>
  <si>
    <t>Fee Schedule</t>
  </si>
  <si>
    <t>Fees</t>
  </si>
  <si>
    <t>County of Monterey</t>
  </si>
  <si>
    <t>Percent Discount by Member Agency</t>
  </si>
  <si>
    <t>Select the Benefit Zone:</t>
  </si>
  <si>
    <t>Select the Land Use Type:</t>
  </si>
  <si>
    <t>Apply discount:</t>
  </si>
  <si>
    <t>Apply credits:</t>
  </si>
  <si>
    <t>Total Regional Fee:</t>
  </si>
  <si>
    <t>Select the Agency:</t>
  </si>
  <si>
    <t>City of Monterey</t>
  </si>
  <si>
    <t>City of Marina</t>
  </si>
  <si>
    <t>Member Agency</t>
  </si>
  <si>
    <t>Discount</t>
  </si>
  <si>
    <t>City of Carmel</t>
  </si>
  <si>
    <t>City of Del Rey Oaks</t>
  </si>
  <si>
    <t>City of Greenfield</t>
  </si>
  <si>
    <t>City of King City</t>
  </si>
  <si>
    <t>City of Pacific Grove</t>
  </si>
  <si>
    <t>City of Salinas</t>
  </si>
  <si>
    <t>City of Sand City</t>
  </si>
  <si>
    <t>City of Seaside</t>
  </si>
  <si>
    <t>City of Soledad</t>
  </si>
  <si>
    <t>Subtotal:</t>
  </si>
  <si>
    <t>Project Name:</t>
  </si>
  <si>
    <t>Date:</t>
  </si>
  <si>
    <t>Quality Restaurant</t>
  </si>
  <si>
    <t>High Turnover (Sit-down) Restaurant</t>
  </si>
  <si>
    <t>Enter the # of Units</t>
  </si>
  <si>
    <t>Calculate by Fee per Trip (Only use for appeals):</t>
  </si>
  <si>
    <t>Select the appropriate Benefit Zone from the drop-down menu for the area that the development is located in.</t>
  </si>
  <si>
    <t>Fee Calculation Worksheet Instructions</t>
  </si>
  <si>
    <t>Select the appropriate City or County from the drop-down menu for the jurisdiction approving the development.</t>
  </si>
  <si>
    <t>Step 1: Identify the Zone and Agency</t>
  </si>
  <si>
    <t>Step 1 continued: Identify the Zone and Agency</t>
  </si>
  <si>
    <t>Step 2: Identify the Land Use Type</t>
  </si>
  <si>
    <t>Step 3: Calculate the Base Regional Fee</t>
  </si>
  <si>
    <t>Select the most accurate land use type for the development from the drop-down menu.</t>
  </si>
  <si>
    <t>Enter the number of units for each land use type (i.e. 100 apartment units).  Residential developments are counted by dwelling unit, Non-Residential developments are counted by square feet.  At this point, the worksheet will calculate the base regional fee (Subtotal).</t>
  </si>
  <si>
    <t>If the jurisdiction collects a local impact fee that funds transportation improvement projects that are also funded by the regional fee program, a discount is applied to the base regional fee.  This step is done automatically by the worksheet.</t>
  </si>
  <si>
    <t>Repeat Steps 2 and 3:</t>
  </si>
  <si>
    <t>Repeat Steps 2 and 3 for each additional land use type contained in the development.  The base regional fee (Subtotal) will adjust for each land use type added.</t>
  </si>
  <si>
    <t>Step 4: Adjust Base Fee for Discounts</t>
  </si>
  <si>
    <t>Step 5: Adjust the Base Fee for Credits</t>
  </si>
  <si>
    <t>If the Project Developer chooses to construct a portion of a transportation improvement project funded by the regional fee or dedicates right-of-way to one of these improvements, they can be eligible for a credit against the regional fee.  The amount of the credit will be determined by the local jurisdiction and approved by the Transportation Agency.  A credit for prior use may also be available if the development is converting an existing facility to a more intensive use.  Consult with the Transportation Agency before granting a credit.</t>
  </si>
  <si>
    <t>Fee Calculation Worksheet</t>
  </si>
  <si>
    <t>Step 6: Collect the Fee</t>
  </si>
  <si>
    <t>Collect the total regional fee shown in the final cell of the worksheet.</t>
  </si>
  <si>
    <t>Appeal Process (Fee per Trip)</t>
  </si>
  <si>
    <t>If the Project Developer is appealing the total regional fee amount and a traffic study has been completed per the Implementation Guidelines, complete Step 1, enter the number of daily weekday vehicle trips as shown, and complete Steps 4, 5, and 6 as necessary.</t>
  </si>
  <si>
    <t>Last Updated April 2, 2009</t>
  </si>
  <si>
    <t>Fast Food (Shopping Center Pad)</t>
  </si>
  <si>
    <t>Fast Food (Stand-Alone)</t>
  </si>
  <si>
    <t>Fast Food (Shopping Center w/ Non-Auto)</t>
  </si>
  <si>
    <t>Fast Food (w/ Non-Auto)</t>
  </si>
  <si>
    <t>Single-Family (Moderate Income)</t>
  </si>
  <si>
    <t>Single-Family (Low Income)</t>
  </si>
  <si>
    <t>Apartment (Moderate Income)</t>
  </si>
  <si>
    <t>Apartment (Low Income)</t>
  </si>
  <si>
    <t>Condo/Townhome (Moderate Income)</t>
  </si>
  <si>
    <t>Condo/Townhome (Low Income)</t>
  </si>
  <si>
    <t>Senior Housing</t>
  </si>
  <si>
    <t>TRIP RATES</t>
  </si>
  <si>
    <t>Medical-Dental Office Building</t>
  </si>
  <si>
    <t>Single Tenant Office Building</t>
  </si>
  <si>
    <t>Continued</t>
  </si>
  <si>
    <t>INFILL RATES</t>
  </si>
  <si>
    <t>Infill Fees</t>
  </si>
  <si>
    <t>=========================</t>
  </si>
  <si>
    <t>=======</t>
  </si>
  <si>
    <t>Day Care Center</t>
  </si>
  <si>
    <t>FORA</t>
  </si>
  <si>
    <t>DEVELOPMENT FEES</t>
  </si>
  <si>
    <t>Address:</t>
  </si>
  <si>
    <t>Permit #:</t>
  </si>
  <si>
    <t>1. STREET TREE FEE</t>
  </si>
  <si>
    <t>Street Frontage (LF)</t>
  </si>
  <si>
    <t>TOTAL STREET TREE FEE DUE:</t>
  </si>
  <si>
    <t>2304.00.0000-56.5110</t>
  </si>
  <si>
    <t>Assigned Trip Rate Per Unit:</t>
  </si>
  <si>
    <t>Fee Per Trip:</t>
  </si>
  <si>
    <t>TOTAL TRAFFIC IMPACT FEE DUE:</t>
  </si>
  <si>
    <t>2306.00.0000-56.5150</t>
  </si>
  <si>
    <t>Fee assessed by the Transportation Agency for Monterey County</t>
  </si>
  <si>
    <t>8809.81.8157-57.8640</t>
  </si>
  <si>
    <t>FIRE IMPACT FEE:</t>
  </si>
  <si>
    <t>POLICE IMPACT FEE:</t>
  </si>
  <si>
    <t>LIBRARY IMPACT FEE:</t>
  </si>
  <si>
    <t>RECREATION IMPACT FEE:</t>
  </si>
  <si>
    <t>2302.00.0000-56.5160</t>
  </si>
  <si>
    <t>TOTAL DEVELOPMENT FEES DUE:</t>
  </si>
  <si>
    <t>2307.00.0000-56.5159</t>
  </si>
  <si>
    <t>2308.00.0000-56.5159</t>
  </si>
  <si>
    <t>2303.00.0000-56.5159</t>
  </si>
  <si>
    <t>TOTAL PUBLIC FACILITIES FEES DUE:</t>
  </si>
  <si>
    <t>No. of Bedrooms:</t>
  </si>
  <si>
    <t>PARK IMPACT FEE:</t>
  </si>
  <si>
    <t>2. TRAFFIC IMPACT FEE</t>
  </si>
  <si>
    <t>3.  REGIONAL DEVELOPMENT IMPACT FEE</t>
  </si>
  <si>
    <t>4. PUBLIC FACILITIES IMPACT FEES</t>
  </si>
  <si>
    <t>Fee applies to ADU &gt;750sf</t>
  </si>
  <si>
    <t xml:space="preserve">Not Applicable </t>
  </si>
  <si>
    <t>Accessory Dwelling Units (ADU) - Senate Bill 13 (Wieckowski, 2019)</t>
  </si>
  <si>
    <t>ADUs under 750 square feet are exempt from impact fees.</t>
  </si>
  <si>
    <t>ADUs over 750 square feet are assessed impacts fees that are proportional to the size of the primary residence.</t>
  </si>
  <si>
    <t>1. In the worksheet above, for "Select the Land Use Type", choose "Single-Family"</t>
  </si>
  <si>
    <t>2. Next, calculate the proportion of the ADU to the main residence and enter that figure in "Enter the # of Units"</t>
  </si>
  <si>
    <t>Primary Residence - Square Feet:</t>
  </si>
  <si>
    <t>ADU - Square Feet:</t>
  </si>
  <si>
    <t>Proportion:</t>
  </si>
  <si>
    <t>Standard Fee Schedule</t>
  </si>
  <si>
    <t>Infill Development Fee Schedule</t>
  </si>
  <si>
    <t>Effective July 1, 2024</t>
  </si>
  <si>
    <t>Accessory Dwelling Unit (2025-2026)</t>
  </si>
  <si>
    <t>multiplier (per 60' frontage)  $426:</t>
  </si>
  <si>
    <t>Last updated July 1, 2024</t>
  </si>
  <si>
    <t>Effective:  July 1, 2025</t>
  </si>
  <si>
    <t>Valid through: 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</si>
</sst>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[Red]\(&quot;$&quot;#,##0.000\)"/>
    <numFmt numFmtId="165" formatCode="&quot;$&quot;#,##0.00"/>
    <numFmt numFmtId="166" formatCode="_(* #,##0_);_(* \(#,##0\);_(* &quot;-&quot;??_);_(@_)"/>
    <numFmt numFmtId="167" formatCode="0.000"/>
    <numFmt numFmtId="168" formatCode="&quot;$&quot;#,##0"/>
    <numFmt numFmtId="169" formatCode="_(* #,##0_);_(* \(#,##0\);_(* \-_);_(@_)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Verdana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365F9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Helv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0" tint="-4.9989318521683403E-2"/>
        <bgColor indexed="49"/>
      </patternFill>
    </fill>
    <fill>
      <patternFill patternType="solid">
        <fgColor theme="0" tint="-4.9989318521683403E-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theme="9" tint="0.79998168889431442"/>
        <bgColor theme="0" tint="-0.24994659260841701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9" fontId="1" fillId="0" borderId="0" applyFill="0" applyBorder="0" applyAlignment="0" applyProtection="0"/>
  </cellStyleXfs>
  <cellXfs count="204">
    <xf numFmtId="0" fontId="0" fillId="0" borderId="0" xfId="0"/>
    <xf numFmtId="0" fontId="5" fillId="0" borderId="0" xfId="6" applyFont="1"/>
    <xf numFmtId="0" fontId="6" fillId="0" borderId="0" xfId="6" applyFont="1"/>
    <xf numFmtId="0" fontId="7" fillId="0" borderId="0" xfId="0" applyFont="1"/>
    <xf numFmtId="0" fontId="7" fillId="0" borderId="0" xfId="0" applyFont="1" applyAlignment="1">
      <alignment horizontal="center"/>
    </xf>
    <xf numFmtId="10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165" fontId="7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0" fontId="7" fillId="0" borderId="0" xfId="0" applyNumberFormat="1" applyFont="1" applyFill="1" applyBorder="1"/>
    <xf numFmtId="165" fontId="7" fillId="0" borderId="0" xfId="0" applyNumberFormat="1" applyFont="1"/>
    <xf numFmtId="0" fontId="6" fillId="0" borderId="1" xfId="0" applyFont="1" applyFill="1" applyBorder="1"/>
    <xf numFmtId="0" fontId="7" fillId="2" borderId="2" xfId="0" applyFont="1" applyFill="1" applyBorder="1"/>
    <xf numFmtId="0" fontId="6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6" fillId="2" borderId="5" xfId="0" applyFont="1" applyFill="1" applyBorder="1" applyAlignment="1">
      <alignment horizontal="center"/>
    </xf>
    <xf numFmtId="0" fontId="7" fillId="2" borderId="6" xfId="0" applyFont="1" applyFill="1" applyBorder="1"/>
    <xf numFmtId="0" fontId="7" fillId="0" borderId="7" xfId="0" applyFont="1" applyFill="1" applyBorder="1"/>
    <xf numFmtId="0" fontId="6" fillId="0" borderId="7" xfId="0" applyFont="1" applyFill="1" applyBorder="1" applyAlignment="1">
      <alignment horizontal="center"/>
    </xf>
    <xf numFmtId="166" fontId="7" fillId="2" borderId="8" xfId="1" applyNumberFormat="1" applyFont="1" applyFill="1" applyBorder="1"/>
    <xf numFmtId="166" fontId="7" fillId="2" borderId="9" xfId="1" applyNumberFormat="1" applyFont="1" applyFill="1" applyBorder="1"/>
    <xf numFmtId="166" fontId="7" fillId="2" borderId="7" xfId="1" applyNumberFormat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11" xfId="0" applyFont="1" applyFill="1" applyBorder="1"/>
    <xf numFmtId="165" fontId="6" fillId="0" borderId="11" xfId="0" applyNumberFormat="1" applyFont="1" applyFill="1" applyBorder="1"/>
    <xf numFmtId="168" fontId="7" fillId="0" borderId="0" xfId="0" applyNumberFormat="1" applyFont="1" applyFill="1" applyBorder="1"/>
    <xf numFmtId="8" fontId="7" fillId="0" borderId="0" xfId="0" applyNumberFormat="1" applyFont="1"/>
    <xf numFmtId="4" fontId="7" fillId="0" borderId="0" xfId="0" applyNumberFormat="1" applyFont="1"/>
    <xf numFmtId="165" fontId="7" fillId="0" borderId="0" xfId="3" applyNumberFormat="1" applyFont="1"/>
    <xf numFmtId="167" fontId="7" fillId="0" borderId="0" xfId="0" applyNumberFormat="1" applyFont="1"/>
    <xf numFmtId="0" fontId="7" fillId="0" borderId="42" xfId="0" applyFont="1" applyFill="1" applyBorder="1"/>
    <xf numFmtId="165" fontId="7" fillId="2" borderId="7" xfId="0" applyNumberFormat="1" applyFont="1" applyFill="1" applyBorder="1"/>
    <xf numFmtId="0" fontId="6" fillId="0" borderId="0" xfId="0" applyFont="1" applyAlignment="1"/>
    <xf numFmtId="0" fontId="7" fillId="0" borderId="0" xfId="10" applyFont="1" applyBorder="1" applyAlignment="1"/>
    <xf numFmtId="0" fontId="13" fillId="4" borderId="52" xfId="10" applyFont="1" applyFill="1" applyBorder="1" applyAlignment="1">
      <alignment horizontal="right"/>
    </xf>
    <xf numFmtId="0" fontId="13" fillId="0" borderId="53" xfId="10" applyFont="1" applyBorder="1" applyAlignment="1">
      <alignment horizontal="right"/>
    </xf>
    <xf numFmtId="0" fontId="12" fillId="0" borderId="54" xfId="10" applyNumberFormat="1" applyFont="1" applyFill="1" applyBorder="1" applyAlignment="1">
      <alignment horizontal="center"/>
    </xf>
    <xf numFmtId="0" fontId="13" fillId="0" borderId="52" xfId="10" applyFont="1" applyBorder="1" applyAlignment="1">
      <alignment horizontal="right"/>
    </xf>
    <xf numFmtId="0" fontId="13" fillId="0" borderId="54" xfId="10" applyNumberFormat="1" applyFont="1" applyFill="1" applyBorder="1" applyAlignment="1">
      <alignment horizontal="center"/>
    </xf>
    <xf numFmtId="0" fontId="7" fillId="0" borderId="4" xfId="10" applyFont="1" applyBorder="1" applyAlignment="1"/>
    <xf numFmtId="0" fontId="13" fillId="5" borderId="52" xfId="10" applyFont="1" applyFill="1" applyBorder="1" applyAlignment="1">
      <alignment horizontal="center"/>
    </xf>
    <xf numFmtId="0" fontId="13" fillId="0" borderId="56" xfId="10" applyFont="1" applyBorder="1" applyAlignment="1"/>
    <xf numFmtId="0" fontId="13" fillId="0" borderId="57" xfId="10" applyFont="1" applyBorder="1" applyAlignment="1"/>
    <xf numFmtId="44" fontId="13" fillId="6" borderId="53" xfId="11" applyFont="1" applyFill="1" applyBorder="1" applyAlignment="1"/>
    <xf numFmtId="44" fontId="13" fillId="7" borderId="53" xfId="11" applyFont="1" applyFill="1" applyBorder="1" applyAlignment="1">
      <alignment horizontal="right"/>
    </xf>
    <xf numFmtId="0" fontId="7" fillId="6" borderId="54" xfId="10" applyFont="1" applyFill="1" applyBorder="1" applyAlignment="1">
      <alignment horizontal="center"/>
    </xf>
    <xf numFmtId="0" fontId="18" fillId="6" borderId="54" xfId="10" applyFont="1" applyFill="1" applyBorder="1" applyAlignment="1">
      <alignment horizontal="center"/>
    </xf>
    <xf numFmtId="166" fontId="7" fillId="0" borderId="0" xfId="13" applyNumberFormat="1" applyFont="1" applyBorder="1" applyAlignment="1"/>
    <xf numFmtId="0" fontId="13" fillId="6" borderId="57" xfId="10" applyFont="1" applyFill="1" applyBorder="1" applyAlignment="1"/>
    <xf numFmtId="0" fontId="13" fillId="6" borderId="53" xfId="10" applyFont="1" applyFill="1" applyBorder="1" applyAlignment="1">
      <alignment horizontal="right"/>
    </xf>
    <xf numFmtId="0" fontId="13" fillId="0" borderId="0" xfId="10" applyFont="1" applyBorder="1" applyAlignment="1"/>
    <xf numFmtId="5" fontId="13" fillId="0" borderId="53" xfId="10" applyNumberFormat="1" applyFont="1" applyFill="1" applyBorder="1" applyAlignment="1">
      <alignment horizontal="right"/>
    </xf>
    <xf numFmtId="3" fontId="19" fillId="0" borderId="55" xfId="10" applyNumberFormat="1" applyFont="1" applyFill="1" applyBorder="1" applyAlignment="1">
      <alignment horizontal="left" wrapText="1"/>
    </xf>
    <xf numFmtId="0" fontId="12" fillId="6" borderId="52" xfId="10" applyFont="1" applyFill="1" applyBorder="1" applyAlignment="1">
      <alignment horizontal="left" indent="1"/>
    </xf>
    <xf numFmtId="0" fontId="13" fillId="6" borderId="53" xfId="10" applyFont="1" applyFill="1" applyBorder="1" applyAlignment="1">
      <alignment horizontal="left" indent="1"/>
    </xf>
    <xf numFmtId="3" fontId="7" fillId="0" borderId="58" xfId="10" applyNumberFormat="1" applyFont="1" applyFill="1" applyBorder="1" applyAlignment="1">
      <alignment horizontal="center" wrapText="1"/>
    </xf>
    <xf numFmtId="0" fontId="7" fillId="6" borderId="54" xfId="10" applyFont="1" applyFill="1" applyBorder="1" applyAlignment="1">
      <alignment horizontal="center" wrapText="1"/>
    </xf>
    <xf numFmtId="0" fontId="19" fillId="6" borderId="0" xfId="10" applyFont="1" applyFill="1" applyBorder="1" applyAlignment="1">
      <alignment horizontal="left" vertical="top" indent="1"/>
    </xf>
    <xf numFmtId="0" fontId="18" fillId="6" borderId="0" xfId="10" applyFont="1" applyFill="1" applyBorder="1" applyAlignment="1">
      <alignment horizontal="center" vertical="top"/>
    </xf>
    <xf numFmtId="0" fontId="7" fillId="6" borderId="0" xfId="10" applyFont="1" applyFill="1" applyBorder="1" applyAlignment="1">
      <alignment horizontal="center" vertical="top"/>
    </xf>
    <xf numFmtId="0" fontId="19" fillId="6" borderId="0" xfId="10" applyFont="1" applyFill="1" applyBorder="1" applyAlignment="1">
      <alignment horizontal="right" vertical="top"/>
    </xf>
    <xf numFmtId="0" fontId="20" fillId="0" borderId="0" xfId="10" applyFont="1" applyBorder="1" applyAlignment="1"/>
    <xf numFmtId="0" fontId="20" fillId="0" borderId="0" xfId="10" applyFont="1" applyBorder="1" applyAlignment="1">
      <alignment horizontal="right"/>
    </xf>
    <xf numFmtId="0" fontId="13" fillId="0" borderId="60" xfId="10" applyFont="1" applyBorder="1" applyAlignment="1">
      <alignment horizontal="right"/>
    </xf>
    <xf numFmtId="0" fontId="13" fillId="0" borderId="57" xfId="10" applyFont="1" applyBorder="1" applyAlignment="1">
      <alignment horizontal="right"/>
    </xf>
    <xf numFmtId="38" fontId="13" fillId="0" borderId="59" xfId="10" applyNumberFormat="1" applyFont="1" applyFill="1" applyBorder="1" applyAlignment="1">
      <alignment horizontal="center"/>
    </xf>
    <xf numFmtId="0" fontId="13" fillId="0" borderId="60" xfId="10" applyFont="1" applyFill="1" applyBorder="1" applyAlignment="1"/>
    <xf numFmtId="0" fontId="13" fillId="6" borderId="59" xfId="10" applyFont="1" applyFill="1" applyBorder="1" applyAlignment="1">
      <alignment horizontal="left" indent="3"/>
    </xf>
    <xf numFmtId="0" fontId="12" fillId="6" borderId="60" xfId="10" applyFont="1" applyFill="1" applyBorder="1" applyAlignment="1">
      <alignment horizontal="left" indent="1"/>
    </xf>
    <xf numFmtId="0" fontId="13" fillId="6" borderId="57" xfId="10" applyFont="1" applyFill="1" applyBorder="1" applyAlignment="1">
      <alignment horizontal="right" indent="1"/>
    </xf>
    <xf numFmtId="44" fontId="13" fillId="6" borderId="53" xfId="3" applyFont="1" applyFill="1" applyBorder="1" applyAlignment="1">
      <alignment horizontal="left" indent="1"/>
    </xf>
    <xf numFmtId="44" fontId="13" fillId="6" borderId="53" xfId="3" applyFont="1" applyFill="1" applyBorder="1" applyAlignment="1"/>
    <xf numFmtId="0" fontId="19" fillId="0" borderId="58" xfId="12" applyFont="1" applyBorder="1" applyAlignment="1">
      <alignment horizontal="left" vertical="center" wrapText="1"/>
    </xf>
    <xf numFmtId="0" fontId="19" fillId="6" borderId="54" xfId="10" applyFont="1" applyFill="1" applyBorder="1" applyAlignment="1">
      <alignment horizontal="left"/>
    </xf>
    <xf numFmtId="0" fontId="21" fillId="0" borderId="64" xfId="0" applyFont="1" applyBorder="1"/>
    <xf numFmtId="0" fontId="18" fillId="0" borderId="64" xfId="0" applyFont="1" applyBorder="1"/>
    <xf numFmtId="0" fontId="7" fillId="0" borderId="65" xfId="0" applyFont="1" applyBorder="1"/>
    <xf numFmtId="0" fontId="7" fillId="0" borderId="0" xfId="0" applyFont="1" applyAlignment="1">
      <alignment horizontal="right"/>
    </xf>
    <xf numFmtId="0" fontId="7" fillId="2" borderId="0" xfId="0" applyFont="1" applyFill="1"/>
    <xf numFmtId="0" fontId="6" fillId="0" borderId="11" xfId="0" applyFont="1" applyBorder="1" applyAlignment="1">
      <alignment horizontal="right"/>
    </xf>
    <xf numFmtId="2" fontId="6" fillId="0" borderId="11" xfId="0" applyNumberFormat="1" applyFont="1" applyBorder="1"/>
    <xf numFmtId="0" fontId="5" fillId="0" borderId="0" xfId="6" applyFont="1"/>
    <xf numFmtId="0" fontId="6" fillId="0" borderId="0" xfId="6" applyFont="1"/>
    <xf numFmtId="0" fontId="9" fillId="3" borderId="31" xfId="0" applyFont="1" applyFill="1" applyBorder="1" applyAlignment="1">
      <alignment wrapText="1"/>
    </xf>
    <xf numFmtId="0" fontId="9" fillId="3" borderId="32" xfId="0" applyFont="1" applyFill="1" applyBorder="1" applyAlignment="1">
      <alignment horizontal="center" wrapText="1"/>
    </xf>
    <xf numFmtId="0" fontId="9" fillId="3" borderId="33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0" fontId="9" fillId="3" borderId="31" xfId="0" applyFont="1" applyFill="1" applyBorder="1" applyAlignment="1">
      <alignment horizontal="center" wrapText="1"/>
    </xf>
    <xf numFmtId="0" fontId="12" fillId="0" borderId="34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6" fontId="12" fillId="0" borderId="35" xfId="0" applyNumberFormat="1" applyFont="1" applyBorder="1" applyAlignment="1">
      <alignment horizontal="center" vertical="top" wrapText="1"/>
    </xf>
    <xf numFmtId="6" fontId="12" fillId="0" borderId="30" xfId="0" applyNumberFormat="1" applyFont="1" applyBorder="1" applyAlignment="1">
      <alignment horizontal="center" vertical="top" wrapText="1"/>
    </xf>
    <xf numFmtId="6" fontId="12" fillId="0" borderId="18" xfId="0" applyNumberFormat="1" applyFont="1" applyBorder="1" applyAlignment="1">
      <alignment horizontal="center" vertical="top" wrapText="1"/>
    </xf>
    <xf numFmtId="0" fontId="13" fillId="0" borderId="0" xfId="0" applyFont="1"/>
    <xf numFmtId="0" fontId="12" fillId="0" borderId="36" xfId="0" quotePrefix="1" applyFont="1" applyBorder="1" applyAlignment="1">
      <alignment vertical="center" wrapText="1"/>
    </xf>
    <xf numFmtId="0" fontId="12" fillId="0" borderId="37" xfId="0" quotePrefix="1" applyFont="1" applyBorder="1" applyAlignment="1">
      <alignment vertical="center" wrapText="1"/>
    </xf>
    <xf numFmtId="6" fontId="12" fillId="0" borderId="38" xfId="0" quotePrefix="1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center" vertical="top" wrapText="1"/>
    </xf>
    <xf numFmtId="6" fontId="13" fillId="0" borderId="35" xfId="0" applyNumberFormat="1" applyFont="1" applyBorder="1" applyAlignment="1">
      <alignment horizontal="center" vertical="top" wrapText="1"/>
    </xf>
    <xf numFmtId="6" fontId="13" fillId="0" borderId="30" xfId="0" applyNumberFormat="1" applyFont="1" applyBorder="1" applyAlignment="1">
      <alignment horizontal="center" vertical="top" wrapText="1"/>
    </xf>
    <xf numFmtId="6" fontId="13" fillId="0" borderId="18" xfId="0" applyNumberFormat="1" applyFont="1" applyBorder="1" applyAlignment="1">
      <alignment horizontal="center" vertical="top" wrapText="1"/>
    </xf>
    <xf numFmtId="2" fontId="13" fillId="0" borderId="34" xfId="0" applyNumberFormat="1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2" fillId="0" borderId="39" xfId="0" applyFont="1" applyBorder="1" applyAlignment="1">
      <alignment horizontal="justify" vertical="top" wrapText="1"/>
    </xf>
    <xf numFmtId="0" fontId="12" fillId="0" borderId="10" xfId="0" applyFont="1" applyBorder="1" applyAlignment="1">
      <alignment horizontal="center" vertical="top" wrapText="1"/>
    </xf>
    <xf numFmtId="164" fontId="12" fillId="0" borderId="14" xfId="0" applyNumberFormat="1" applyFont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right" vertical="top" wrapText="1"/>
    </xf>
    <xf numFmtId="2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 vertical="top" wrapText="1"/>
    </xf>
    <xf numFmtId="164" fontId="13" fillId="0" borderId="4" xfId="0" applyNumberFormat="1" applyFont="1" applyBorder="1" applyAlignment="1">
      <alignment horizontal="center" vertical="top" wrapText="1"/>
    </xf>
    <xf numFmtId="164" fontId="13" fillId="0" borderId="18" xfId="0" applyNumberFormat="1" applyFont="1" applyBorder="1" applyAlignment="1">
      <alignment horizontal="center" vertical="top" wrapText="1"/>
    </xf>
    <xf numFmtId="2" fontId="13" fillId="0" borderId="44" xfId="0" applyNumberFormat="1" applyFont="1" applyBorder="1" applyAlignment="1">
      <alignment horizontal="center"/>
    </xf>
    <xf numFmtId="8" fontId="13" fillId="0" borderId="8" xfId="0" applyNumberFormat="1" applyFont="1" applyBorder="1" applyAlignment="1">
      <alignment horizontal="center" vertical="top" wrapText="1"/>
    </xf>
    <xf numFmtId="8" fontId="13" fillId="0" borderId="19" xfId="0" applyNumberFormat="1" applyFont="1" applyBorder="1" applyAlignment="1">
      <alignment horizontal="center" vertical="top" wrapText="1"/>
    </xf>
    <xf numFmtId="2" fontId="13" fillId="0" borderId="8" xfId="0" applyNumberFormat="1" applyFont="1" applyBorder="1" applyAlignment="1">
      <alignment horizontal="center" vertical="top" wrapText="1"/>
    </xf>
    <xf numFmtId="2" fontId="13" fillId="0" borderId="44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right" vertical="top" wrapText="1"/>
    </xf>
    <xf numFmtId="2" fontId="13" fillId="0" borderId="16" xfId="0" applyNumberFormat="1" applyFont="1" applyBorder="1" applyAlignment="1">
      <alignment horizontal="center" vertical="top" wrapText="1"/>
    </xf>
    <xf numFmtId="8" fontId="13" fillId="0" borderId="16" xfId="0" applyNumberFormat="1" applyFont="1" applyBorder="1" applyAlignment="1">
      <alignment horizontal="center" vertical="top" wrapText="1"/>
    </xf>
    <xf numFmtId="8" fontId="13" fillId="0" borderId="20" xfId="0" applyNumberFormat="1" applyFont="1" applyBorder="1" applyAlignment="1">
      <alignment horizontal="center" vertical="top" wrapText="1"/>
    </xf>
    <xf numFmtId="2" fontId="13" fillId="0" borderId="45" xfId="0" applyNumberFormat="1" applyFont="1" applyBorder="1" applyAlignment="1">
      <alignment horizontal="center" vertical="top" wrapText="1"/>
    </xf>
    <xf numFmtId="0" fontId="12" fillId="0" borderId="21" xfId="0" applyFont="1" applyBorder="1" applyAlignment="1">
      <alignment horizontal="justify" vertical="top" wrapText="1"/>
    </xf>
    <xf numFmtId="0" fontId="12" fillId="0" borderId="10" xfId="0" applyFont="1" applyBorder="1" applyAlignment="1">
      <alignment horizontal="justify" vertical="top" wrapText="1"/>
    </xf>
    <xf numFmtId="164" fontId="12" fillId="0" borderId="40" xfId="0" applyNumberFormat="1" applyFont="1" applyBorder="1" applyAlignment="1">
      <alignment horizontal="center" vertical="top" wrapText="1"/>
    </xf>
    <xf numFmtId="164" fontId="12" fillId="0" borderId="41" xfId="0" applyNumberFormat="1" applyFont="1" applyBorder="1" applyAlignment="1">
      <alignment horizontal="center" vertical="top" wrapText="1"/>
    </xf>
    <xf numFmtId="164" fontId="12" fillId="0" borderId="22" xfId="0" applyNumberFormat="1" applyFont="1" applyBorder="1" applyAlignment="1">
      <alignment horizontal="center" vertical="top" wrapText="1"/>
    </xf>
    <xf numFmtId="0" fontId="12" fillId="0" borderId="43" xfId="0" applyFont="1" applyBorder="1" applyAlignment="1">
      <alignment horizontal="justify" vertical="top" wrapText="1"/>
    </xf>
    <xf numFmtId="0" fontId="13" fillId="0" borderId="8" xfId="0" applyFont="1" applyBorder="1" applyAlignment="1">
      <alignment horizontal="center" vertical="top" wrapText="1"/>
    </xf>
    <xf numFmtId="164" fontId="13" fillId="0" borderId="35" xfId="0" applyNumberFormat="1" applyFont="1" applyBorder="1" applyAlignment="1">
      <alignment horizontal="center" vertical="top" wrapText="1"/>
    </xf>
    <xf numFmtId="164" fontId="13" fillId="0" borderId="30" xfId="0" applyNumberFormat="1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justify" vertical="top"/>
    </xf>
    <xf numFmtId="0" fontId="12" fillId="0" borderId="12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2" fillId="0" borderId="43" xfId="0" applyFont="1" applyBorder="1" applyAlignment="1">
      <alignment vertical="top" wrapText="1"/>
    </xf>
    <xf numFmtId="6" fontId="13" fillId="0" borderId="19" xfId="0" applyNumberFormat="1" applyFont="1" applyBorder="1" applyAlignment="1">
      <alignment horizontal="center" vertical="top" wrapText="1"/>
    </xf>
    <xf numFmtId="0" fontId="13" fillId="0" borderId="23" xfId="0" applyFont="1" applyBorder="1" applyAlignment="1">
      <alignment horizontal="right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top" wrapText="1"/>
    </xf>
    <xf numFmtId="6" fontId="13" fillId="0" borderId="47" xfId="0" applyNumberFormat="1" applyFont="1" applyBorder="1" applyAlignment="1">
      <alignment horizontal="center" vertical="top" wrapText="1"/>
    </xf>
    <xf numFmtId="6" fontId="13" fillId="0" borderId="48" xfId="0" applyNumberFormat="1" applyFont="1" applyBorder="1" applyAlignment="1">
      <alignment horizontal="center" vertical="top" wrapText="1"/>
    </xf>
    <xf numFmtId="0" fontId="12" fillId="0" borderId="25" xfId="0" applyFont="1" applyBorder="1" applyAlignment="1">
      <alignment horizontal="justify" vertical="top" wrapText="1"/>
    </xf>
    <xf numFmtId="0" fontId="12" fillId="0" borderId="26" xfId="0" applyFont="1" applyBorder="1" applyAlignment="1">
      <alignment horizontal="justify" vertical="top" wrapText="1"/>
    </xf>
    <xf numFmtId="6" fontId="12" fillId="0" borderId="27" xfId="0" applyNumberFormat="1" applyFont="1" applyBorder="1" applyAlignment="1">
      <alignment horizontal="center" vertical="top" wrapText="1"/>
    </xf>
    <xf numFmtId="6" fontId="12" fillId="0" borderId="28" xfId="0" applyNumberFormat="1" applyFont="1" applyBorder="1" applyAlignment="1">
      <alignment horizontal="center" vertical="top" wrapText="1"/>
    </xf>
    <xf numFmtId="6" fontId="12" fillId="0" borderId="29" xfId="0" applyNumberFormat="1" applyFont="1" applyBorder="1" applyAlignment="1">
      <alignment horizontal="center" vertical="top" wrapText="1"/>
    </xf>
    <xf numFmtId="0" fontId="9" fillId="3" borderId="17" xfId="0" applyFont="1" applyFill="1" applyBorder="1" applyAlignment="1">
      <alignment horizontal="center" vertical="center" wrapText="1"/>
    </xf>
    <xf numFmtId="8" fontId="12" fillId="0" borderId="14" xfId="0" applyNumberFormat="1" applyFont="1" applyBorder="1" applyAlignment="1">
      <alignment horizontal="center"/>
    </xf>
    <xf numFmtId="8" fontId="12" fillId="0" borderId="15" xfId="0" applyNumberFormat="1" applyFont="1" applyBorder="1" applyAlignment="1">
      <alignment horizontal="center"/>
    </xf>
    <xf numFmtId="8" fontId="13" fillId="0" borderId="4" xfId="0" applyNumberFormat="1" applyFont="1" applyBorder="1" applyAlignment="1">
      <alignment horizontal="center" vertical="top" wrapText="1"/>
    </xf>
    <xf numFmtId="8" fontId="13" fillId="0" borderId="18" xfId="0" applyNumberFormat="1" applyFont="1" applyBorder="1" applyAlignment="1">
      <alignment horizontal="center" vertical="top" wrapText="1"/>
    </xf>
    <xf numFmtId="2" fontId="13" fillId="8" borderId="53" xfId="10" applyNumberFormat="1" applyFont="1" applyFill="1" applyBorder="1" applyAlignment="1"/>
    <xf numFmtId="39" fontId="7" fillId="2" borderId="8" xfId="1" applyNumberFormat="1" applyFont="1" applyFill="1" applyBorder="1"/>
    <xf numFmtId="0" fontId="13" fillId="6" borderId="52" xfId="10" applyFont="1" applyFill="1" applyBorder="1" applyAlignment="1">
      <alignment horizontal="left" indent="1"/>
    </xf>
    <xf numFmtId="0" fontId="13" fillId="6" borderId="53" xfId="10" applyFont="1" applyFill="1" applyBorder="1" applyAlignment="1">
      <alignment horizontal="left" indent="1"/>
    </xf>
    <xf numFmtId="0" fontId="15" fillId="10" borderId="49" xfId="10" applyFont="1" applyFill="1" applyBorder="1" applyAlignment="1">
      <alignment horizontal="center"/>
    </xf>
    <xf numFmtId="0" fontId="15" fillId="10" borderId="50" xfId="10" applyFont="1" applyFill="1" applyBorder="1" applyAlignment="1">
      <alignment horizontal="center"/>
    </xf>
    <xf numFmtId="0" fontId="15" fillId="10" borderId="51" xfId="10" applyFont="1" applyFill="1" applyBorder="1" applyAlignment="1">
      <alignment horizontal="center"/>
    </xf>
    <xf numFmtId="0" fontId="8" fillId="10" borderId="52" xfId="10" applyFont="1" applyFill="1" applyBorder="1" applyAlignment="1">
      <alignment horizontal="center"/>
    </xf>
    <xf numFmtId="0" fontId="8" fillId="10" borderId="53" xfId="10" applyFont="1" applyFill="1" applyBorder="1" applyAlignment="1">
      <alignment horizontal="center"/>
    </xf>
    <xf numFmtId="0" fontId="8" fillId="10" borderId="54" xfId="10" applyFont="1" applyFill="1" applyBorder="1" applyAlignment="1">
      <alignment horizontal="center"/>
    </xf>
    <xf numFmtId="0" fontId="16" fillId="0" borderId="53" xfId="10" applyFont="1" applyFill="1" applyBorder="1" applyAlignment="1">
      <alignment horizontal="left" indent="2"/>
    </xf>
    <xf numFmtId="14" fontId="13" fillId="0" borderId="53" xfId="10" applyNumberFormat="1" applyFont="1" applyFill="1" applyBorder="1" applyAlignment="1">
      <alignment horizontal="left" indent="2"/>
    </xf>
    <xf numFmtId="0" fontId="13" fillId="4" borderId="52" xfId="10" applyFont="1" applyFill="1" applyBorder="1" applyAlignment="1">
      <alignment horizontal="center"/>
    </xf>
    <xf numFmtId="0" fontId="13" fillId="4" borderId="53" xfId="10" applyFont="1" applyFill="1" applyBorder="1" applyAlignment="1">
      <alignment horizontal="center"/>
    </xf>
    <xf numFmtId="0" fontId="13" fillId="4" borderId="54" xfId="10" applyFont="1" applyFill="1" applyBorder="1" applyAlignment="1">
      <alignment horizontal="center"/>
    </xf>
    <xf numFmtId="0" fontId="12" fillId="4" borderId="52" xfId="10" applyFont="1" applyFill="1" applyBorder="1" applyAlignment="1">
      <alignment horizontal="left" indent="1"/>
    </xf>
    <xf numFmtId="0" fontId="12" fillId="4" borderId="53" xfId="10" applyFont="1" applyFill="1" applyBorder="1" applyAlignment="1">
      <alignment horizontal="left" indent="1"/>
    </xf>
    <xf numFmtId="0" fontId="12" fillId="6" borderId="52" xfId="10" applyFont="1" applyFill="1" applyBorder="1" applyAlignment="1">
      <alignment horizontal="left" indent="1"/>
    </xf>
    <xf numFmtId="0" fontId="12" fillId="6" borderId="53" xfId="10" applyFont="1" applyFill="1" applyBorder="1" applyAlignment="1">
      <alignment horizontal="left" indent="1"/>
    </xf>
    <xf numFmtId="3" fontId="19" fillId="0" borderId="55" xfId="10" applyNumberFormat="1" applyFont="1" applyFill="1" applyBorder="1" applyAlignment="1">
      <alignment horizontal="left" vertical="top" wrapText="1"/>
    </xf>
    <xf numFmtId="3" fontId="19" fillId="0" borderId="58" xfId="10" applyNumberFormat="1" applyFont="1" applyFill="1" applyBorder="1" applyAlignment="1">
      <alignment horizontal="left" vertical="top" wrapText="1"/>
    </xf>
    <xf numFmtId="0" fontId="13" fillId="6" borderId="52" xfId="10" applyFont="1" applyFill="1" applyBorder="1" applyAlignment="1">
      <alignment horizontal="right"/>
    </xf>
    <xf numFmtId="0" fontId="13" fillId="6" borderId="53" xfId="10" applyFont="1" applyFill="1" applyBorder="1" applyAlignment="1">
      <alignment horizontal="right"/>
    </xf>
    <xf numFmtId="0" fontId="12" fillId="6" borderId="59" xfId="10" applyFont="1" applyFill="1" applyBorder="1" applyAlignment="1">
      <alignment horizontal="left" indent="1"/>
    </xf>
    <xf numFmtId="0" fontId="12" fillId="6" borderId="60" xfId="10" applyFont="1" applyFill="1" applyBorder="1" applyAlignment="1">
      <alignment horizontal="left" indent="1"/>
    </xf>
    <xf numFmtId="0" fontId="12" fillId="6" borderId="57" xfId="10" applyFont="1" applyFill="1" applyBorder="1" applyAlignment="1">
      <alignment horizontal="left" indent="1"/>
    </xf>
    <xf numFmtId="0" fontId="13" fillId="6" borderId="52" xfId="10" applyFont="1" applyFill="1" applyBorder="1" applyAlignment="1">
      <alignment horizontal="center"/>
    </xf>
    <xf numFmtId="0" fontId="13" fillId="6" borderId="53" xfId="10" applyFont="1" applyFill="1" applyBorder="1" applyAlignment="1">
      <alignment horizontal="center"/>
    </xf>
    <xf numFmtId="0" fontId="13" fillId="6" borderId="54" xfId="10" applyFont="1" applyFill="1" applyBorder="1" applyAlignment="1">
      <alignment horizontal="center"/>
    </xf>
    <xf numFmtId="0" fontId="12" fillId="6" borderId="61" xfId="10" applyFont="1" applyFill="1" applyBorder="1" applyAlignment="1">
      <alignment horizontal="left" indent="1"/>
    </xf>
    <xf numFmtId="0" fontId="12" fillId="6" borderId="62" xfId="10" applyFont="1" applyFill="1" applyBorder="1" applyAlignment="1">
      <alignment horizontal="left" indent="1"/>
    </xf>
    <xf numFmtId="44" fontId="12" fillId="9" borderId="62" xfId="11" applyFont="1" applyFill="1" applyBorder="1" applyAlignment="1">
      <alignment horizontal="center"/>
    </xf>
    <xf numFmtId="44" fontId="12" fillId="9" borderId="63" xfId="11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8">
    <cellStyle name="Comma" xfId="1" builtinId="3"/>
    <cellStyle name="Comma [0] 3" xfId="17" xr:uid="{C405D26F-3306-44E8-8E65-C15BCF46B0C6}"/>
    <cellStyle name="Comma 2" xfId="2" xr:uid="{00000000-0005-0000-0000-000001000000}"/>
    <cellStyle name="Comma 2 2" xfId="13" xr:uid="{92F56C16-7853-4CE3-93E2-F0F26DF0C06B}"/>
    <cellStyle name="Currency" xfId="3" builtinId="4"/>
    <cellStyle name="Currency 2" xfId="4" xr:uid="{00000000-0005-0000-0000-000003000000}"/>
    <cellStyle name="Currency 2 2" xfId="14" xr:uid="{2A517CA5-03BF-4010-83B5-632BE2C1F619}"/>
    <cellStyle name="Currency 3" xfId="5" xr:uid="{00000000-0005-0000-0000-000004000000}"/>
    <cellStyle name="Currency 4" xfId="11" xr:uid="{899CBB04-B787-44AF-A9FC-ED132325BCBA}"/>
    <cellStyle name="Normal" xfId="0" builtinId="0"/>
    <cellStyle name="Normal 2" xfId="6" xr:uid="{00000000-0005-0000-0000-000006000000}"/>
    <cellStyle name="Normal 3" xfId="7" xr:uid="{00000000-0005-0000-0000-000007000000}"/>
    <cellStyle name="Normal 4" xfId="12" xr:uid="{767CDC76-8BCA-4853-8EEE-45A3FF219F03}"/>
    <cellStyle name="Normal_00FY2yk02-03DevFeeCalcb 2" xfId="10" xr:uid="{65FD8017-2A8B-4C8F-9324-1B26DC023E32}"/>
    <cellStyle name="Percent 2" xfId="8" xr:uid="{00000000-0005-0000-0000-000008000000}"/>
    <cellStyle name="Percent 2 2" xfId="15" xr:uid="{24FD3550-83F0-48A7-B495-C310A05BDDD8}"/>
    <cellStyle name="Percent 3" xfId="9" xr:uid="{00000000-0005-0000-0000-000009000000}"/>
    <cellStyle name="Row heading" xfId="16" xr:uid="{6308BB93-C4BB-47E6-BBFA-FD2E01DFF84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223313</xdr:colOff>
      <xdr:row>0</xdr:row>
      <xdr:rowOff>31750</xdr:rowOff>
    </xdr:from>
    <xdr:to>
      <xdr:col>14</xdr:col>
      <xdr:colOff>825499</xdr:colOff>
      <xdr:row>3</xdr:row>
      <xdr:rowOff>10583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0C3CDF-7932-4E02-A930-F147FDD10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729" b="20536"/>
        <a:stretch/>
      </xdr:blipFill>
      <xdr:spPr>
        <a:xfrm>
          <a:off x="11024663" y="31750"/>
          <a:ext cx="2297636" cy="540808"/>
        </a:xfrm>
        <a:prstGeom prst="rect">
          <a:avLst/>
        </a:prstGeom>
      </xdr:spPr>
    </xdr:pic>
    <xdr:clientData/>
  </xdr:twoCellAnchor>
  <xdr:twoCellAnchor editAs="oneCell">
    <xdr:from>
      <xdr:col>12</xdr:col>
      <xdr:colOff>223313</xdr:colOff>
      <xdr:row>0</xdr:row>
      <xdr:rowOff>31750</xdr:rowOff>
    </xdr:from>
    <xdr:to>
      <xdr:col>14</xdr:col>
      <xdr:colOff>825499</xdr:colOff>
      <xdr:row>3</xdr:row>
      <xdr:rowOff>10583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0BAD35-0911-4E62-B6F5-42DBA1A845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729" b="20536"/>
        <a:stretch/>
      </xdr:blipFill>
      <xdr:spPr>
        <a:xfrm>
          <a:off x="11024663" y="31750"/>
          <a:ext cx="2297636" cy="5408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45225</xdr:colOff>
      <xdr:row>198</xdr:row>
      <xdr:rowOff>47625</xdr:rowOff>
    </xdr:from>
    <xdr:to>
      <xdr:col>13</xdr:col>
      <xdr:colOff>226200</xdr:colOff>
      <xdr:row>217</xdr:row>
      <xdr:rowOff>66675</xdr:rowOff>
    </xdr:to>
    <xdr:pic>
      <xdr:nvPicPr>
        <xdr:cNvPr id="2" name="Picture 1" descr="Fees-Step7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4698"/>
        <a:stretch>
          <a:fillRect/>
        </a:stretch>
      </xdr:blipFill>
      <xdr:spPr>
        <a:xfrm>
          <a:off x="654825" y="34051875"/>
          <a:ext cx="7496175" cy="309562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6</xdr:row>
      <xdr:rowOff>47625</xdr:rowOff>
    </xdr:from>
    <xdr:to>
      <xdr:col>13</xdr:col>
      <xdr:colOff>245250</xdr:colOff>
      <xdr:row>25</xdr:row>
      <xdr:rowOff>83325</xdr:rowOff>
    </xdr:to>
    <xdr:pic>
      <xdr:nvPicPr>
        <xdr:cNvPr id="3" name="Picture 2" descr="Fees-Step1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4687"/>
        <a:stretch>
          <a:fillRect/>
        </a:stretch>
      </xdr:blipFill>
      <xdr:spPr>
        <a:xfrm>
          <a:off x="654825" y="1171575"/>
          <a:ext cx="7515225" cy="311227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30</xdr:row>
      <xdr:rowOff>47625</xdr:rowOff>
    </xdr:from>
    <xdr:to>
      <xdr:col>13</xdr:col>
      <xdr:colOff>235725</xdr:colOff>
      <xdr:row>49</xdr:row>
      <xdr:rowOff>71400</xdr:rowOff>
    </xdr:to>
    <xdr:pic>
      <xdr:nvPicPr>
        <xdr:cNvPr id="4" name="Picture 3" descr="Fees-Step2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4792"/>
        <a:stretch>
          <a:fillRect/>
        </a:stretch>
      </xdr:blipFill>
      <xdr:spPr>
        <a:xfrm>
          <a:off x="654825" y="5619750"/>
          <a:ext cx="7505700" cy="310035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54</xdr:row>
      <xdr:rowOff>47625</xdr:rowOff>
    </xdr:from>
    <xdr:to>
      <xdr:col>13</xdr:col>
      <xdr:colOff>245250</xdr:colOff>
      <xdr:row>73</xdr:row>
      <xdr:rowOff>97575</xdr:rowOff>
    </xdr:to>
    <xdr:pic>
      <xdr:nvPicPr>
        <xdr:cNvPr id="5" name="Picture 4" descr="Fees-Step3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14742"/>
        <a:stretch>
          <a:fillRect/>
        </a:stretch>
      </xdr:blipFill>
      <xdr:spPr>
        <a:xfrm>
          <a:off x="654825" y="10067925"/>
          <a:ext cx="7515225" cy="312652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78</xdr:row>
      <xdr:rowOff>47625</xdr:rowOff>
    </xdr:from>
    <xdr:to>
      <xdr:col>13</xdr:col>
      <xdr:colOff>226200</xdr:colOff>
      <xdr:row>97</xdr:row>
      <xdr:rowOff>76125</xdr:rowOff>
    </xdr:to>
    <xdr:pic>
      <xdr:nvPicPr>
        <xdr:cNvPr id="6" name="Picture 5" descr="Fees-Step4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14885"/>
        <a:stretch>
          <a:fillRect/>
        </a:stretch>
      </xdr:blipFill>
      <xdr:spPr>
        <a:xfrm>
          <a:off x="654825" y="13277850"/>
          <a:ext cx="7496175" cy="310507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102</xdr:row>
      <xdr:rowOff>47625</xdr:rowOff>
    </xdr:from>
    <xdr:to>
      <xdr:col>13</xdr:col>
      <xdr:colOff>235725</xdr:colOff>
      <xdr:row>121</xdr:row>
      <xdr:rowOff>73725</xdr:rowOff>
    </xdr:to>
    <xdr:pic>
      <xdr:nvPicPr>
        <xdr:cNvPr id="7" name="Picture 6" descr="Fees-Step4.1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14950"/>
        <a:stretch>
          <a:fillRect/>
        </a:stretch>
      </xdr:blipFill>
      <xdr:spPr>
        <a:xfrm>
          <a:off x="654825" y="17459325"/>
          <a:ext cx="7505700" cy="310267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126</xdr:row>
      <xdr:rowOff>47625</xdr:rowOff>
    </xdr:from>
    <xdr:to>
      <xdr:col>13</xdr:col>
      <xdr:colOff>235725</xdr:colOff>
      <xdr:row>145</xdr:row>
      <xdr:rowOff>80850</xdr:rowOff>
    </xdr:to>
    <xdr:pic>
      <xdr:nvPicPr>
        <xdr:cNvPr id="8" name="Picture 7" descr="Fees-Step5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t="14755"/>
        <a:stretch>
          <a:fillRect/>
        </a:stretch>
      </xdr:blipFill>
      <xdr:spPr>
        <a:xfrm>
          <a:off x="654825" y="21640800"/>
          <a:ext cx="7505700" cy="310980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150</xdr:row>
      <xdr:rowOff>47625</xdr:rowOff>
    </xdr:from>
    <xdr:to>
      <xdr:col>13</xdr:col>
      <xdr:colOff>207150</xdr:colOff>
      <xdr:row>169</xdr:row>
      <xdr:rowOff>78450</xdr:rowOff>
    </xdr:to>
    <xdr:pic>
      <xdr:nvPicPr>
        <xdr:cNvPr id="9" name="Picture 8" descr="Fees-Step6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t="14374"/>
        <a:stretch>
          <a:fillRect/>
        </a:stretch>
      </xdr:blipFill>
      <xdr:spPr>
        <a:xfrm>
          <a:off x="654825" y="26127075"/>
          <a:ext cx="7477125" cy="310740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45225</xdr:colOff>
      <xdr:row>174</xdr:row>
      <xdr:rowOff>47625</xdr:rowOff>
    </xdr:from>
    <xdr:to>
      <xdr:col>13</xdr:col>
      <xdr:colOff>245250</xdr:colOff>
      <xdr:row>193</xdr:row>
      <xdr:rowOff>28575</xdr:rowOff>
    </xdr:to>
    <xdr:pic>
      <xdr:nvPicPr>
        <xdr:cNvPr id="10" name="Picture 9" descr="Fees-Step8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4825" y="30089475"/>
          <a:ext cx="7515225" cy="3057525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14</xdr:col>
      <xdr:colOff>604043</xdr:colOff>
      <xdr:row>6</xdr:row>
      <xdr:rowOff>794</xdr:rowOff>
    </xdr:from>
    <xdr:to>
      <xdr:col>14</xdr:col>
      <xdr:colOff>605631</xdr:colOff>
      <xdr:row>25</xdr:row>
      <xdr:rowOff>10319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rot="5400000">
          <a:off x="7272337" y="266700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30</xdr:row>
      <xdr:rowOff>794</xdr:rowOff>
    </xdr:from>
    <xdr:to>
      <xdr:col>14</xdr:col>
      <xdr:colOff>605631</xdr:colOff>
      <xdr:row>49</xdr:row>
      <xdr:rowOff>10319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rot="5400000">
          <a:off x="7272337" y="662940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54</xdr:row>
      <xdr:rowOff>794</xdr:rowOff>
    </xdr:from>
    <xdr:to>
      <xdr:col>14</xdr:col>
      <xdr:colOff>605631</xdr:colOff>
      <xdr:row>73</xdr:row>
      <xdr:rowOff>10319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rot="5400000">
          <a:off x="7272337" y="1059180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77</xdr:row>
      <xdr:rowOff>372269</xdr:rowOff>
    </xdr:from>
    <xdr:to>
      <xdr:col>14</xdr:col>
      <xdr:colOff>605631</xdr:colOff>
      <xdr:row>97</xdr:row>
      <xdr:rowOff>794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rot="5400000">
          <a:off x="7272337" y="1476375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102</xdr:row>
      <xdr:rowOff>794</xdr:rowOff>
    </xdr:from>
    <xdr:to>
      <xdr:col>14</xdr:col>
      <xdr:colOff>605631</xdr:colOff>
      <xdr:row>121</xdr:row>
      <xdr:rowOff>10319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rot="5400000">
          <a:off x="7272337" y="1895475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126</xdr:row>
      <xdr:rowOff>794</xdr:rowOff>
    </xdr:from>
    <xdr:to>
      <xdr:col>14</xdr:col>
      <xdr:colOff>605631</xdr:colOff>
      <xdr:row>145</xdr:row>
      <xdr:rowOff>10319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 rot="5400000">
          <a:off x="7272337" y="23136225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149</xdr:row>
      <xdr:rowOff>667544</xdr:rowOff>
    </xdr:from>
    <xdr:to>
      <xdr:col>14</xdr:col>
      <xdr:colOff>605631</xdr:colOff>
      <xdr:row>168</xdr:row>
      <xdr:rowOff>153194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rot="5400000">
          <a:off x="7272337" y="27603450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604043</xdr:colOff>
      <xdr:row>173</xdr:row>
      <xdr:rowOff>153194</xdr:rowOff>
    </xdr:from>
    <xdr:to>
      <xdr:col>14</xdr:col>
      <xdr:colOff>605631</xdr:colOff>
      <xdr:row>193</xdr:row>
      <xdr:rowOff>794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rot="5400000">
          <a:off x="7272337" y="31575375"/>
          <a:ext cx="308610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63C3-CF70-4365-9AD5-FB925D4E31FD}">
  <sheetPr>
    <tabColor theme="6" tint="-0.249977111117893"/>
    <pageSetUpPr fitToPage="1"/>
  </sheetPr>
  <dimension ref="A1:H26"/>
  <sheetViews>
    <sheetView zoomScaleNormal="100" workbookViewId="0">
      <selection activeCell="B3" sqref="B3:D3"/>
    </sheetView>
  </sheetViews>
  <sheetFormatPr defaultColWidth="8.85546875" defaultRowHeight="18" customHeight="1" x14ac:dyDescent="0.2"/>
  <cols>
    <col min="1" max="1" width="10.5703125" style="38" customWidth="1"/>
    <col min="2" max="3" width="18.7109375" style="38" customWidth="1"/>
    <col min="4" max="4" width="15.7109375" style="38" customWidth="1"/>
    <col min="5" max="5" width="18.7109375" style="38" customWidth="1"/>
    <col min="6" max="6" width="28.5703125" style="38" customWidth="1"/>
    <col min="7" max="7" width="8.85546875" style="38" customWidth="1"/>
    <col min="8" max="8" width="12.85546875" style="38" bestFit="1" customWidth="1"/>
    <col min="9" max="16384" width="8.85546875" style="38"/>
  </cols>
  <sheetData>
    <row r="1" spans="1:8" ht="24.95" customHeight="1" x14ac:dyDescent="0.4">
      <c r="A1" s="167" t="s">
        <v>123</v>
      </c>
      <c r="B1" s="168"/>
      <c r="C1" s="168"/>
      <c r="D1" s="168"/>
      <c r="E1" s="168"/>
      <c r="F1" s="169"/>
    </row>
    <row r="2" spans="1:8" ht="20.100000000000001" customHeight="1" x14ac:dyDescent="0.3">
      <c r="A2" s="170" t="s">
        <v>164</v>
      </c>
      <c r="B2" s="171"/>
      <c r="C2" s="171"/>
      <c r="D2" s="171"/>
      <c r="E2" s="171"/>
      <c r="F2" s="172"/>
    </row>
    <row r="3" spans="1:8" ht="20.100000000000001" customHeight="1" x14ac:dyDescent="0.25">
      <c r="A3" s="39" t="s">
        <v>124</v>
      </c>
      <c r="B3" s="173"/>
      <c r="C3" s="173"/>
      <c r="D3" s="173"/>
      <c r="E3" s="40" t="s">
        <v>125</v>
      </c>
      <c r="F3" s="41"/>
    </row>
    <row r="4" spans="1:8" ht="18" customHeight="1" x14ac:dyDescent="0.25">
      <c r="A4" s="42" t="s">
        <v>76</v>
      </c>
      <c r="B4" s="174"/>
      <c r="C4" s="174"/>
      <c r="D4" s="174"/>
      <c r="E4" s="40" t="s">
        <v>146</v>
      </c>
      <c r="F4" s="43"/>
    </row>
    <row r="5" spans="1:8" ht="5.0999999999999996" customHeight="1" x14ac:dyDescent="0.25">
      <c r="A5" s="175"/>
      <c r="B5" s="176"/>
      <c r="C5" s="176"/>
      <c r="D5" s="176"/>
      <c r="E5" s="176"/>
      <c r="F5" s="177"/>
    </row>
    <row r="6" spans="1:8" ht="18" customHeight="1" x14ac:dyDescent="0.25">
      <c r="A6" s="178" t="s">
        <v>126</v>
      </c>
      <c r="B6" s="179"/>
      <c r="C6" s="179"/>
      <c r="D6" s="179"/>
      <c r="E6" s="179"/>
      <c r="F6" s="44"/>
    </row>
    <row r="7" spans="1:8" ht="18" customHeight="1" x14ac:dyDescent="0.25">
      <c r="A7" s="45">
        <v>0</v>
      </c>
      <c r="B7" s="46" t="s">
        <v>127</v>
      </c>
      <c r="C7" s="47"/>
      <c r="D7" s="40" t="s">
        <v>165</v>
      </c>
      <c r="E7" s="48">
        <f>(A7/60)*426</f>
        <v>0</v>
      </c>
      <c r="F7" s="77" t="s">
        <v>152</v>
      </c>
    </row>
    <row r="8" spans="1:8" ht="18" customHeight="1" x14ac:dyDescent="0.25">
      <c r="A8" s="165" t="s">
        <v>128</v>
      </c>
      <c r="B8" s="166"/>
      <c r="C8" s="166"/>
      <c r="D8" s="166"/>
      <c r="E8" s="49">
        <f>E7</f>
        <v>0</v>
      </c>
      <c r="F8" s="50" t="s">
        <v>129</v>
      </c>
    </row>
    <row r="9" spans="1:8" ht="18" customHeight="1" x14ac:dyDescent="0.25">
      <c r="A9" s="180" t="s">
        <v>148</v>
      </c>
      <c r="B9" s="181"/>
      <c r="C9" s="181"/>
      <c r="D9" s="181"/>
      <c r="E9" s="181"/>
      <c r="F9" s="44"/>
    </row>
    <row r="10" spans="1:8" ht="18" customHeight="1" x14ac:dyDescent="0.25">
      <c r="A10" s="70"/>
      <c r="B10" s="71"/>
      <c r="C10" s="53"/>
      <c r="D10" s="54" t="s">
        <v>130</v>
      </c>
      <c r="E10" s="163"/>
      <c r="F10" s="182" t="s">
        <v>152</v>
      </c>
      <c r="G10" s="55"/>
      <c r="H10" s="55"/>
    </row>
    <row r="11" spans="1:8" ht="18" customHeight="1" x14ac:dyDescent="0.25">
      <c r="A11" s="184" t="s">
        <v>131</v>
      </c>
      <c r="B11" s="185"/>
      <c r="C11" s="185"/>
      <c r="D11" s="185"/>
      <c r="E11" s="48">
        <v>470</v>
      </c>
      <c r="F11" s="183"/>
      <c r="H11" s="55"/>
    </row>
    <row r="12" spans="1:8" ht="18" customHeight="1" x14ac:dyDescent="0.25">
      <c r="A12" s="165" t="s">
        <v>132</v>
      </c>
      <c r="B12" s="166"/>
      <c r="C12" s="166"/>
      <c r="D12" s="166"/>
      <c r="E12" s="49">
        <f>E10*E11</f>
        <v>0</v>
      </c>
      <c r="F12" s="50" t="s">
        <v>133</v>
      </c>
      <c r="G12" s="55"/>
      <c r="H12" s="55"/>
    </row>
    <row r="13" spans="1:8" ht="18" customHeight="1" x14ac:dyDescent="0.25">
      <c r="A13" s="186" t="s">
        <v>149</v>
      </c>
      <c r="B13" s="187"/>
      <c r="C13" s="187"/>
      <c r="D13" s="188"/>
      <c r="E13" s="56"/>
      <c r="F13" s="57" t="s">
        <v>151</v>
      </c>
      <c r="G13" s="55"/>
      <c r="H13" s="55"/>
    </row>
    <row r="14" spans="1:8" ht="18" customHeight="1" x14ac:dyDescent="0.25">
      <c r="A14" s="58"/>
      <c r="B14" s="59"/>
      <c r="C14" s="59"/>
      <c r="D14" s="54" t="s">
        <v>134</v>
      </c>
      <c r="E14" s="49">
        <f>Worksheet!E21</f>
        <v>0</v>
      </c>
      <c r="F14" s="60" t="s">
        <v>135</v>
      </c>
      <c r="G14" s="55"/>
      <c r="H14" s="55"/>
    </row>
    <row r="15" spans="1:8" ht="18" customHeight="1" x14ac:dyDescent="0.25">
      <c r="A15" s="180" t="s">
        <v>150</v>
      </c>
      <c r="B15" s="181"/>
      <c r="C15" s="181"/>
      <c r="D15" s="181"/>
      <c r="E15" s="181"/>
      <c r="F15" s="51"/>
    </row>
    <row r="16" spans="1:8" ht="18" customHeight="1" x14ac:dyDescent="0.25">
      <c r="A16" s="72" t="s">
        <v>147</v>
      </c>
      <c r="B16" s="73"/>
      <c r="C16" s="73"/>
      <c r="D16" s="74"/>
      <c r="E16" s="75">
        <v>0</v>
      </c>
      <c r="F16" s="78" t="s">
        <v>152</v>
      </c>
    </row>
    <row r="17" spans="1:8" ht="18" customHeight="1" x14ac:dyDescent="0.25">
      <c r="A17" s="72" t="s">
        <v>136</v>
      </c>
      <c r="B17" s="68"/>
      <c r="C17" s="68"/>
      <c r="D17" s="69"/>
      <c r="E17" s="76">
        <v>0</v>
      </c>
      <c r="F17" s="61" t="s">
        <v>142</v>
      </c>
      <c r="H17" s="52"/>
    </row>
    <row r="18" spans="1:8" ht="18" customHeight="1" x14ac:dyDescent="0.25">
      <c r="A18" s="72" t="s">
        <v>137</v>
      </c>
      <c r="B18" s="68"/>
      <c r="C18" s="68"/>
      <c r="D18" s="69"/>
      <c r="E18" s="48">
        <v>0</v>
      </c>
      <c r="F18" s="61" t="s">
        <v>143</v>
      </c>
      <c r="H18" s="52"/>
    </row>
    <row r="19" spans="1:8" ht="18" customHeight="1" x14ac:dyDescent="0.25">
      <c r="A19" s="72" t="s">
        <v>138</v>
      </c>
      <c r="B19" s="68"/>
      <c r="C19" s="68"/>
      <c r="D19" s="69"/>
      <c r="E19" s="48">
        <v>0</v>
      </c>
      <c r="F19" s="61" t="s">
        <v>144</v>
      </c>
      <c r="H19" s="52"/>
    </row>
    <row r="20" spans="1:8" ht="18" customHeight="1" x14ac:dyDescent="0.25">
      <c r="A20" s="72" t="s">
        <v>139</v>
      </c>
      <c r="B20" s="68"/>
      <c r="C20" s="68"/>
      <c r="D20" s="69"/>
      <c r="E20" s="48">
        <v>0</v>
      </c>
      <c r="F20" s="61" t="s">
        <v>140</v>
      </c>
      <c r="H20" s="52"/>
    </row>
    <row r="21" spans="1:8" ht="18" customHeight="1" x14ac:dyDescent="0.25">
      <c r="A21" s="165" t="s">
        <v>145</v>
      </c>
      <c r="B21" s="166"/>
      <c r="C21" s="166"/>
      <c r="D21" s="166"/>
      <c r="E21" s="48">
        <v>0</v>
      </c>
      <c r="F21" s="61"/>
      <c r="H21" s="52"/>
    </row>
    <row r="22" spans="1:8" ht="5.0999999999999996" customHeight="1" x14ac:dyDescent="0.25">
      <c r="A22" s="189"/>
      <c r="B22" s="190"/>
      <c r="C22" s="190"/>
      <c r="D22" s="190"/>
      <c r="E22" s="190"/>
      <c r="F22" s="191"/>
      <c r="G22" s="55"/>
      <c r="H22" s="55"/>
    </row>
    <row r="23" spans="1:8" ht="20.100000000000001" customHeight="1" thickBot="1" x14ac:dyDescent="0.3">
      <c r="A23" s="192" t="s">
        <v>141</v>
      </c>
      <c r="B23" s="193"/>
      <c r="C23" s="193"/>
      <c r="D23" s="193"/>
      <c r="E23" s="194">
        <f>E8+E12+E14++E21</f>
        <v>0</v>
      </c>
      <c r="F23" s="195"/>
      <c r="G23" s="55"/>
      <c r="H23" s="55"/>
    </row>
    <row r="24" spans="1:8" ht="18" customHeight="1" x14ac:dyDescent="0.25">
      <c r="A24" s="62" t="s">
        <v>167</v>
      </c>
      <c r="B24" s="63"/>
      <c r="C24" s="63"/>
      <c r="D24" s="63"/>
      <c r="E24" s="64"/>
      <c r="F24" s="65" t="s">
        <v>168</v>
      </c>
      <c r="G24" s="55"/>
      <c r="H24" s="55"/>
    </row>
    <row r="25" spans="1:8" ht="18" customHeight="1" x14ac:dyDescent="0.25">
      <c r="A25" s="66"/>
      <c r="B25" s="55"/>
      <c r="C25" s="55"/>
      <c r="E25" s="55"/>
      <c r="F25" s="67"/>
      <c r="G25" s="55"/>
      <c r="H25" s="55"/>
    </row>
    <row r="26" spans="1:8" ht="18" customHeight="1" x14ac:dyDescent="0.25">
      <c r="G26" s="55"/>
      <c r="H26" s="55"/>
    </row>
  </sheetData>
  <mergeCells count="17">
    <mergeCell ref="A15:E15"/>
    <mergeCell ref="A22:F22"/>
    <mergeCell ref="A23:D23"/>
    <mergeCell ref="E23:F23"/>
    <mergeCell ref="A21:D21"/>
    <mergeCell ref="A9:E9"/>
    <mergeCell ref="F10:F11"/>
    <mergeCell ref="A11:D11"/>
    <mergeCell ref="A12:D12"/>
    <mergeCell ref="A13:D13"/>
    <mergeCell ref="A8:D8"/>
    <mergeCell ref="A1:F1"/>
    <mergeCell ref="A2:F2"/>
    <mergeCell ref="B3:D3"/>
    <mergeCell ref="B4:D4"/>
    <mergeCell ref="A5:F5"/>
    <mergeCell ref="A6:E6"/>
  </mergeCells>
  <printOptions horizontalCentered="1"/>
  <pageMargins left="0.25" right="0.25" top="0.5" bottom="0.5" header="0" footer="0.3"/>
  <pageSetup scale="93" orientation="portrait" horizontalDpi="300" verticalDpi="300" r:id="rId1"/>
  <headerFooter alignWithMargins="0">
    <oddFooter>&amp;L&amp;8Estimate prepared by:  AR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I35"/>
  <sheetViews>
    <sheetView zoomScale="90" zoomScaleNormal="90" workbookViewId="0">
      <selection activeCell="A4" sqref="A4"/>
    </sheetView>
  </sheetViews>
  <sheetFormatPr defaultColWidth="8.85546875" defaultRowHeight="12.75" x14ac:dyDescent="0.2"/>
  <cols>
    <col min="1" max="1" width="4.7109375" style="3" customWidth="1"/>
    <col min="2" max="2" width="38.85546875" style="3" bestFit="1" customWidth="1"/>
    <col min="3" max="3" width="24.140625" style="3" bestFit="1" customWidth="1"/>
    <col min="4" max="4" width="16.28515625" style="3" bestFit="1" customWidth="1"/>
    <col min="5" max="5" width="12.7109375" style="3" customWidth="1"/>
    <col min="6" max="6" width="5.5703125" style="3" customWidth="1"/>
    <col min="7" max="7" width="12.7109375" style="3" customWidth="1"/>
    <col min="8" max="8" width="8.85546875" style="3"/>
    <col min="9" max="9" width="9.85546875" style="3" bestFit="1" customWidth="1"/>
    <col min="10" max="16384" width="8.85546875" style="3"/>
  </cols>
  <sheetData>
    <row r="1" spans="1:9" ht="18.75" x14ac:dyDescent="0.3">
      <c r="A1" s="1" t="s">
        <v>0</v>
      </c>
      <c r="C1" s="4"/>
      <c r="D1" s="4"/>
    </row>
    <row r="2" spans="1:9" x14ac:dyDescent="0.2">
      <c r="A2" s="2" t="s">
        <v>96</v>
      </c>
      <c r="C2" s="4"/>
      <c r="D2" s="4"/>
    </row>
    <row r="3" spans="1:9" x14ac:dyDescent="0.2">
      <c r="A3" s="3" t="s">
        <v>166</v>
      </c>
      <c r="C3" s="4"/>
      <c r="D3" s="4"/>
    </row>
    <row r="5" spans="1:9" ht="21.75" thickBot="1" x14ac:dyDescent="0.4">
      <c r="A5" s="196" t="s">
        <v>75</v>
      </c>
      <c r="B5" s="196"/>
      <c r="C5" s="196"/>
      <c r="D5" s="7" t="s">
        <v>76</v>
      </c>
      <c r="E5" s="8"/>
    </row>
    <row r="6" spans="1:9" ht="13.5" thickBot="1" x14ac:dyDescent="0.25">
      <c r="A6" s="15" t="s">
        <v>55</v>
      </c>
      <c r="B6" s="21"/>
      <c r="C6" s="16" t="s">
        <v>4</v>
      </c>
      <c r="D6" s="8"/>
      <c r="E6" s="8"/>
    </row>
    <row r="7" spans="1:9" ht="13.5" thickBot="1" x14ac:dyDescent="0.25">
      <c r="A7" s="15" t="s">
        <v>60</v>
      </c>
      <c r="B7" s="21"/>
      <c r="C7" s="16" t="s">
        <v>70</v>
      </c>
      <c r="D7" s="8"/>
      <c r="E7" s="8"/>
    </row>
    <row r="8" spans="1:9" ht="13.5" thickBot="1" x14ac:dyDescent="0.25">
      <c r="A8" s="8"/>
      <c r="B8" s="8"/>
      <c r="C8" s="8"/>
      <c r="D8" s="8"/>
      <c r="E8" s="8"/>
    </row>
    <row r="9" spans="1:9" ht="13.5" thickBot="1" x14ac:dyDescent="0.25">
      <c r="A9" s="197" t="s">
        <v>56</v>
      </c>
      <c r="B9" s="198"/>
      <c r="C9" s="12" t="s">
        <v>51</v>
      </c>
      <c r="D9" s="22" t="s">
        <v>79</v>
      </c>
      <c r="E9" s="12" t="s">
        <v>52</v>
      </c>
      <c r="G9" s="12" t="s">
        <v>118</v>
      </c>
      <c r="H9" s="37"/>
    </row>
    <row r="10" spans="1:9" x14ac:dyDescent="0.2">
      <c r="A10" s="17">
        <v>1</v>
      </c>
      <c r="B10" s="18"/>
      <c r="C10" s="10">
        <f>IF(ISBLANK(B10),0,VLOOKUP(B10,FeeValues,MATCH(Worksheet!$C$6,Zones,0)+2,FALSE))</f>
        <v>0</v>
      </c>
      <c r="D10" s="164"/>
      <c r="E10" s="10">
        <f>C10*D10</f>
        <v>0</v>
      </c>
      <c r="F10" s="34"/>
      <c r="G10" s="10">
        <f>IF(ISBLANK(B10),0,VLOOKUP(B10,FeeValuesInfill,MATCH(Worksheet!$C$6,ZonesInfill,0)+9,FALSE)*D10)</f>
        <v>0</v>
      </c>
      <c r="H10" s="10"/>
      <c r="I10" s="32"/>
    </row>
    <row r="11" spans="1:9" x14ac:dyDescent="0.2">
      <c r="A11" s="17">
        <v>2</v>
      </c>
      <c r="B11" s="18"/>
      <c r="C11" s="10">
        <f>IF(ISBLANK(B11),0,VLOOKUP(B11,FeeValues,MATCH(Worksheet!$C$6,Zones,0)+2,FALSE))</f>
        <v>0</v>
      </c>
      <c r="D11" s="23"/>
      <c r="E11" s="10">
        <f>C11*D11</f>
        <v>0</v>
      </c>
      <c r="F11" s="14"/>
      <c r="G11" s="10">
        <f>IF(ISBLANK(B11),0,VLOOKUP(B11,FeeValuesInfill,MATCH(Worksheet!$C$6,ZonesInfill,0)+9,FALSE)*D11)</f>
        <v>0</v>
      </c>
      <c r="H11" s="10"/>
    </row>
    <row r="12" spans="1:9" x14ac:dyDescent="0.2">
      <c r="A12" s="17">
        <v>3</v>
      </c>
      <c r="B12" s="18"/>
      <c r="C12" s="10">
        <f>IF(ISBLANK(B12),0,VLOOKUP(B12,FeeValues,MATCH(Worksheet!$C$6,Zones,0)+2,FALSE))</f>
        <v>0</v>
      </c>
      <c r="D12" s="23"/>
      <c r="E12" s="10">
        <f>C12*D12</f>
        <v>0</v>
      </c>
      <c r="G12" s="10">
        <f>IF(ISBLANK(B12),0,VLOOKUP(B12,FeeValuesInfill,MATCH(Worksheet!$C$6,ZonesInfill,0)+9,FALSE)*D12)</f>
        <v>0</v>
      </c>
      <c r="H12" s="10"/>
    </row>
    <row r="13" spans="1:9" x14ac:dyDescent="0.2">
      <c r="A13" s="17">
        <v>4</v>
      </c>
      <c r="B13" s="18"/>
      <c r="C13" s="10">
        <f>IF(ISBLANK(B13),0,VLOOKUP(B13,FeeValues,MATCH(Worksheet!$C$6,Zones,0)+2,FALSE))</f>
        <v>0</v>
      </c>
      <c r="D13" s="23"/>
      <c r="E13" s="10">
        <f>C13*D13</f>
        <v>0</v>
      </c>
      <c r="G13" s="10">
        <f>IF(ISBLANK(B13),0,VLOOKUP(B13,FeeValuesInfill,MATCH(Worksheet!$C$6,ZonesInfill,0)+9,FALSE)*D13)</f>
        <v>0</v>
      </c>
      <c r="H13" s="10"/>
    </row>
    <row r="14" spans="1:9" ht="13.5" thickBot="1" x14ac:dyDescent="0.25">
      <c r="A14" s="19">
        <v>5</v>
      </c>
      <c r="B14" s="20"/>
      <c r="C14" s="10">
        <f>IF(ISBLANK(B14),0,VLOOKUP(B14,FeeValues,MATCH(Worksheet!$C$6,Zones,0)+2,FALSE))</f>
        <v>0</v>
      </c>
      <c r="D14" s="24"/>
      <c r="E14" s="10">
        <f>C14*D14</f>
        <v>0</v>
      </c>
      <c r="G14" s="10">
        <f>IF(ISBLANK(B14),0,VLOOKUP(B14,FeeValuesInfill,MATCH(Worksheet!$C$6,ZonesInfill,0)+9,FALSE)*D14)</f>
        <v>0</v>
      </c>
      <c r="H14" s="10"/>
    </row>
    <row r="15" spans="1:9" ht="13.5" thickBot="1" x14ac:dyDescent="0.25">
      <c r="A15" s="9"/>
    </row>
    <row r="16" spans="1:9" ht="13.5" thickBot="1" x14ac:dyDescent="0.25">
      <c r="A16" s="9"/>
      <c r="B16" s="11" t="s">
        <v>80</v>
      </c>
      <c r="C16" s="30">
        <f>HLOOKUP(C6,'Fee Schedule'!D5:G73,69,FALSE)</f>
        <v>431.3913928850161</v>
      </c>
      <c r="D16" s="25"/>
      <c r="E16" s="10">
        <f>C16*D16</f>
        <v>0</v>
      </c>
    </row>
    <row r="17" spans="1:7" x14ac:dyDescent="0.2">
      <c r="A17" s="9"/>
      <c r="B17" s="9"/>
      <c r="C17" s="10"/>
      <c r="D17" s="9"/>
      <c r="E17" s="10"/>
    </row>
    <row r="18" spans="1:7" x14ac:dyDescent="0.2">
      <c r="A18" s="9"/>
      <c r="B18" s="9"/>
      <c r="C18" s="11" t="s">
        <v>74</v>
      </c>
      <c r="D18" s="9"/>
      <c r="E18" s="10">
        <f>IF(SUM(E10:E14)=0,E16,SUM(E10:E14))</f>
        <v>0</v>
      </c>
      <c r="G18" s="14">
        <f>SUM(G10:G14)</f>
        <v>0</v>
      </c>
    </row>
    <row r="19" spans="1:7" ht="13.5" thickBot="1" x14ac:dyDescent="0.25">
      <c r="A19" s="9"/>
      <c r="B19" s="9"/>
      <c r="C19" s="11" t="s">
        <v>57</v>
      </c>
      <c r="D19" s="13">
        <f>VLOOKUP(C7,Discounts!B6:C18,2,FALSE)</f>
        <v>0.45602564394328177</v>
      </c>
      <c r="E19" s="10">
        <f>E18*D19</f>
        <v>0</v>
      </c>
      <c r="G19" s="10">
        <f>G18*D19</f>
        <v>0</v>
      </c>
    </row>
    <row r="20" spans="1:7" ht="13.5" thickBot="1" x14ac:dyDescent="0.25">
      <c r="A20" s="9"/>
      <c r="B20" s="9"/>
      <c r="C20" s="11" t="s">
        <v>58</v>
      </c>
      <c r="D20" s="36"/>
      <c r="E20" s="10">
        <f>D20</f>
        <v>0</v>
      </c>
      <c r="G20" s="10">
        <f>D20</f>
        <v>0</v>
      </c>
    </row>
    <row r="21" spans="1:7" ht="13.5" thickBot="1" x14ac:dyDescent="0.25">
      <c r="B21" s="9"/>
      <c r="C21" s="28" t="s">
        <v>59</v>
      </c>
      <c r="D21" s="35"/>
      <c r="E21" s="29">
        <f>E18-E19-E20</f>
        <v>0</v>
      </c>
      <c r="F21" s="29"/>
      <c r="G21" s="29">
        <f>G18-G19-G20</f>
        <v>0</v>
      </c>
    </row>
    <row r="22" spans="1:7" ht="13.5" thickTop="1" x14ac:dyDescent="0.2">
      <c r="E22" s="33"/>
    </row>
    <row r="24" spans="1:7" ht="15.75" thickBot="1" x14ac:dyDescent="0.3">
      <c r="A24" s="79" t="s">
        <v>153</v>
      </c>
      <c r="B24" s="80"/>
      <c r="C24" s="80"/>
      <c r="D24" s="80"/>
      <c r="E24" s="80"/>
      <c r="F24" s="80"/>
      <c r="G24" s="80"/>
    </row>
    <row r="26" spans="1:7" x14ac:dyDescent="0.2">
      <c r="B26" s="3" t="s">
        <v>154</v>
      </c>
    </row>
    <row r="28" spans="1:7" x14ac:dyDescent="0.2">
      <c r="B28" s="81" t="s">
        <v>155</v>
      </c>
      <c r="C28" s="81"/>
      <c r="D28" s="81"/>
      <c r="E28" s="81"/>
      <c r="F28" s="81"/>
      <c r="G28" s="81"/>
    </row>
    <row r="29" spans="1:7" x14ac:dyDescent="0.2">
      <c r="B29" s="3" t="s">
        <v>156</v>
      </c>
    </row>
    <row r="30" spans="1:7" x14ac:dyDescent="0.2">
      <c r="B30" s="3" t="s">
        <v>157</v>
      </c>
    </row>
    <row r="32" spans="1:7" x14ac:dyDescent="0.2">
      <c r="B32" s="82" t="s">
        <v>158</v>
      </c>
      <c r="C32" s="83"/>
    </row>
    <row r="33" spans="2:3" x14ac:dyDescent="0.2">
      <c r="B33" s="82" t="s">
        <v>159</v>
      </c>
      <c r="C33" s="83"/>
    </row>
    <row r="34" spans="2:3" ht="13.5" thickBot="1" x14ac:dyDescent="0.25">
      <c r="B34" s="84" t="s">
        <v>160</v>
      </c>
      <c r="C34" s="85" t="str">
        <f>IF(C32=0,"",C33/C32)</f>
        <v/>
      </c>
    </row>
    <row r="35" spans="2:3" ht="13.5" thickTop="1" x14ac:dyDescent="0.2"/>
  </sheetData>
  <mergeCells count="2">
    <mergeCell ref="A5:C5"/>
    <mergeCell ref="A9:B9"/>
  </mergeCells>
  <phoneticPr fontId="4" type="noConversion"/>
  <dataValidations xWindow="332" yWindow="233" count="5">
    <dataValidation type="list" errorStyle="information" allowBlank="1" showErrorMessage="1" errorTitle="Select the Benefit Zone" error="Select the appropriate benefit zone for the project from the drop-down list." promptTitle="Benefit Zones" prompt="Select the Benefit Zone" sqref="C6" xr:uid="{00000000-0002-0000-0000-000000000000}">
      <formula1>Zones</formula1>
    </dataValidation>
    <dataValidation type="list" errorStyle="information" allowBlank="1" showErrorMessage="1" errorTitle="Select the Land Use Type" error="Select the land use type for the project from the drop-down list." sqref="B10:B14" xr:uid="{00000000-0002-0000-0000-000001000000}">
      <formula1>LandUses</formula1>
    </dataValidation>
    <dataValidation type="list" errorStyle="information" allowBlank="1" showErrorMessage="1" errorTitle="Select the Agency" error="Select the agency for the project from the drop-down list." sqref="C7" xr:uid="{00000000-0002-0000-0000-000002000000}">
      <formula1>Agencies</formula1>
    </dataValidation>
    <dataValidation errorStyle="information" allowBlank="1" showErrorMessage="1" errorTitle="Select the Land Use Type" error="Select the land use type for the project from the drop-down list." sqref="A10:A14" xr:uid="{00000000-0002-0000-0000-000003000000}"/>
    <dataValidation errorStyle="information" allowBlank="1" showErrorMessage="1" errorTitle="Select the Agency" error="Select the agency for the project from the drop-down list." sqref="C8" xr:uid="{00000000-0002-0000-0000-000004000000}"/>
  </dataValidations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O75"/>
  <sheetViews>
    <sheetView tabSelected="1" view="pageBreakPreview" zoomScaleNormal="100" zoomScaleSheetLayoutView="100" workbookViewId="0">
      <selection activeCell="I8" sqref="I8"/>
    </sheetView>
  </sheetViews>
  <sheetFormatPr defaultColWidth="8.85546875" defaultRowHeight="12.75" x14ac:dyDescent="0.2"/>
  <cols>
    <col min="1" max="1" width="1.7109375" style="3" customWidth="1"/>
    <col min="2" max="2" width="44.7109375" style="3" customWidth="1"/>
    <col min="3" max="3" width="8" style="3" customWidth="1"/>
    <col min="4" max="5" width="12.7109375" style="4" customWidth="1"/>
    <col min="6" max="6" width="12.7109375" style="3" customWidth="1"/>
    <col min="7" max="8" width="13.5703125" style="3" customWidth="1"/>
    <col min="9" max="9" width="8.85546875" style="3"/>
    <col min="10" max="10" width="8" style="3" customWidth="1"/>
    <col min="11" max="15" width="12.7109375" style="3" customWidth="1"/>
    <col min="16" max="16384" width="8.85546875" style="3"/>
  </cols>
  <sheetData>
    <row r="1" spans="1:15" ht="18.75" x14ac:dyDescent="0.3">
      <c r="A1" s="86" t="s">
        <v>0</v>
      </c>
    </row>
    <row r="2" spans="1:15" x14ac:dyDescent="0.2">
      <c r="A2" s="87" t="s">
        <v>1</v>
      </c>
    </row>
    <row r="3" spans="1:15" x14ac:dyDescent="0.2">
      <c r="B3" s="3" t="s">
        <v>163</v>
      </c>
    </row>
    <row r="4" spans="1:15" ht="16.5" thickBot="1" x14ac:dyDescent="0.3">
      <c r="A4" s="87"/>
      <c r="D4" s="199" t="s">
        <v>161</v>
      </c>
      <c r="E4" s="199"/>
      <c r="F4" s="199"/>
      <c r="G4" s="199"/>
      <c r="H4" s="199"/>
      <c r="K4" s="199" t="s">
        <v>162</v>
      </c>
      <c r="L4" s="199"/>
      <c r="M4" s="199"/>
      <c r="N4" s="199"/>
      <c r="O4" s="199"/>
    </row>
    <row r="5" spans="1:15" ht="25.5" thickTop="1" thickBot="1" x14ac:dyDescent="0.25">
      <c r="B5" s="88" t="s">
        <v>2</v>
      </c>
      <c r="C5" s="89" t="s">
        <v>113</v>
      </c>
      <c r="D5" s="90" t="s">
        <v>3</v>
      </c>
      <c r="E5" s="89" t="s">
        <v>4</v>
      </c>
      <c r="F5" s="89" t="s">
        <v>45</v>
      </c>
      <c r="G5" s="91" t="s">
        <v>5</v>
      </c>
      <c r="H5" s="158" t="s">
        <v>122</v>
      </c>
      <c r="J5" s="92" t="s">
        <v>117</v>
      </c>
      <c r="K5" s="90" t="s">
        <v>3</v>
      </c>
      <c r="L5" s="89" t="s">
        <v>4</v>
      </c>
      <c r="M5" s="89" t="s">
        <v>45</v>
      </c>
      <c r="N5" s="91" t="s">
        <v>5</v>
      </c>
      <c r="O5" s="158" t="s">
        <v>122</v>
      </c>
    </row>
    <row r="6" spans="1:15" ht="16.5" thickTop="1" x14ac:dyDescent="0.25">
      <c r="B6" s="93" t="s">
        <v>46</v>
      </c>
      <c r="C6" s="94"/>
      <c r="D6" s="95"/>
      <c r="E6" s="96"/>
      <c r="F6" s="96"/>
      <c r="G6" s="97"/>
      <c r="H6" s="97"/>
      <c r="I6" s="98"/>
      <c r="J6" s="93"/>
      <c r="K6" s="95"/>
      <c r="L6" s="96"/>
      <c r="M6" s="96"/>
      <c r="N6" s="97"/>
      <c r="O6" s="97"/>
    </row>
    <row r="7" spans="1:15" ht="15.75" x14ac:dyDescent="0.25">
      <c r="B7" s="99" t="s">
        <v>119</v>
      </c>
      <c r="C7" s="100" t="str">
        <f>"===="</f>
        <v>====</v>
      </c>
      <c r="D7" s="101" t="s">
        <v>120</v>
      </c>
      <c r="E7" s="101" t="s">
        <v>120</v>
      </c>
      <c r="F7" s="101" t="s">
        <v>120</v>
      </c>
      <c r="G7" s="101" t="s">
        <v>120</v>
      </c>
      <c r="H7" s="101" t="s">
        <v>120</v>
      </c>
      <c r="I7" s="98"/>
      <c r="J7" s="100" t="str">
        <f>"===="</f>
        <v>====</v>
      </c>
      <c r="K7" s="101" t="s">
        <v>120</v>
      </c>
      <c r="L7" s="101" t="s">
        <v>120</v>
      </c>
      <c r="M7" s="101" t="s">
        <v>120</v>
      </c>
      <c r="N7" s="101" t="s">
        <v>120</v>
      </c>
      <c r="O7" s="101" t="s">
        <v>120</v>
      </c>
    </row>
    <row r="8" spans="1:15" ht="15.75" x14ac:dyDescent="0.25">
      <c r="B8" s="102" t="s">
        <v>6</v>
      </c>
      <c r="C8" s="103">
        <v>9.57</v>
      </c>
      <c r="D8" s="104">
        <f t="shared" ref="D8:H18" si="0">$C8*D$73</f>
        <v>4925.4583462780884</v>
      </c>
      <c r="E8" s="105">
        <f t="shared" si="0"/>
        <v>4128.4156299096039</v>
      </c>
      <c r="F8" s="105">
        <f t="shared" si="0"/>
        <v>5029.0128409005247</v>
      </c>
      <c r="G8" s="106">
        <f t="shared" si="0"/>
        <v>2414.8808323493754</v>
      </c>
      <c r="H8" s="106">
        <f t="shared" si="0"/>
        <v>5096.7820488684456</v>
      </c>
      <c r="I8" s="98"/>
      <c r="J8" s="107">
        <f>C8*(1-0.1)</f>
        <v>8.6130000000000013</v>
      </c>
      <c r="K8" s="104">
        <f>$J8*D$73</f>
        <v>4432.9125116502801</v>
      </c>
      <c r="L8" s="105">
        <f>$J8*E$73</f>
        <v>3715.5740669186443</v>
      </c>
      <c r="M8" s="105">
        <f>$J8*F$73</f>
        <v>4526.1115568104724</v>
      </c>
      <c r="N8" s="106">
        <f>$J8*G$73</f>
        <v>2173.3927491144382</v>
      </c>
      <c r="O8" s="106">
        <f>$J8*H$73</f>
        <v>4587.1038439816011</v>
      </c>
    </row>
    <row r="9" spans="1:15" ht="15.75" x14ac:dyDescent="0.25">
      <c r="B9" s="102" t="s">
        <v>106</v>
      </c>
      <c r="C9" s="108">
        <v>7.47</v>
      </c>
      <c r="D9" s="104">
        <f t="shared" si="0"/>
        <v>3844.6367655901063</v>
      </c>
      <c r="E9" s="105">
        <f t="shared" si="0"/>
        <v>3222.4937048510701</v>
      </c>
      <c r="F9" s="105">
        <f t="shared" si="0"/>
        <v>3925.4677033988419</v>
      </c>
      <c r="G9" s="106">
        <f t="shared" si="0"/>
        <v>1884.969677915343</v>
      </c>
      <c r="H9" s="106">
        <f t="shared" si="0"/>
        <v>3978.3659252922971</v>
      </c>
      <c r="I9" s="98"/>
      <c r="J9" s="109">
        <f t="shared" ref="J9:J18" si="1">C9*(1-0.1)</f>
        <v>6.7229999999999999</v>
      </c>
      <c r="K9" s="104">
        <f t="shared" ref="K9:O18" si="2">$J9*D$73</f>
        <v>3460.173089031096</v>
      </c>
      <c r="L9" s="105">
        <f t="shared" si="2"/>
        <v>2900.2443343659634</v>
      </c>
      <c r="M9" s="105">
        <f t="shared" si="2"/>
        <v>3532.9209330589574</v>
      </c>
      <c r="N9" s="106">
        <f t="shared" si="2"/>
        <v>1696.4727101238086</v>
      </c>
      <c r="O9" s="106">
        <f t="shared" si="2"/>
        <v>3580.5293327630675</v>
      </c>
    </row>
    <row r="10" spans="1:15" ht="15.75" x14ac:dyDescent="0.25">
      <c r="B10" s="102" t="s">
        <v>107</v>
      </c>
      <c r="C10" s="108">
        <v>5.52</v>
      </c>
      <c r="D10" s="104">
        <f t="shared" si="0"/>
        <v>2841.0167263798376</v>
      </c>
      <c r="E10" s="105">
        <f t="shared" si="0"/>
        <v>2381.2804887252887</v>
      </c>
      <c r="F10" s="105">
        <f t="shared" si="0"/>
        <v>2900.7472185758506</v>
      </c>
      <c r="G10" s="106">
        <f t="shared" si="0"/>
        <v>1392.9093202265988</v>
      </c>
      <c r="H10" s="106">
        <f t="shared" si="0"/>
        <v>2939.8366676858741</v>
      </c>
      <c r="I10" s="98"/>
      <c r="J10" s="109">
        <f t="shared" si="1"/>
        <v>4.968</v>
      </c>
      <c r="K10" s="104">
        <f t="shared" si="2"/>
        <v>2556.9150537418541</v>
      </c>
      <c r="L10" s="105">
        <f t="shared" si="2"/>
        <v>2143.1524398527599</v>
      </c>
      <c r="M10" s="105">
        <f t="shared" si="2"/>
        <v>2610.6724967182658</v>
      </c>
      <c r="N10" s="106">
        <f t="shared" si="2"/>
        <v>1253.618388203939</v>
      </c>
      <c r="O10" s="106">
        <f t="shared" si="2"/>
        <v>2645.8530009172869</v>
      </c>
    </row>
    <row r="11" spans="1:15" ht="15.75" x14ac:dyDescent="0.25">
      <c r="B11" s="102" t="s">
        <v>7</v>
      </c>
      <c r="C11" s="103">
        <v>6.72</v>
      </c>
      <c r="D11" s="104">
        <f t="shared" si="0"/>
        <v>3458.6290582015413</v>
      </c>
      <c r="E11" s="105">
        <f t="shared" si="0"/>
        <v>2898.950160187308</v>
      </c>
      <c r="F11" s="105">
        <f t="shared" si="0"/>
        <v>3531.3444400053836</v>
      </c>
      <c r="G11" s="106">
        <f t="shared" si="0"/>
        <v>1695.7156941889029</v>
      </c>
      <c r="H11" s="106">
        <f t="shared" si="0"/>
        <v>3578.9315954436729</v>
      </c>
      <c r="I11" s="98"/>
      <c r="J11" s="107">
        <f t="shared" si="1"/>
        <v>6.048</v>
      </c>
      <c r="K11" s="104">
        <f t="shared" si="2"/>
        <v>3112.7661523813877</v>
      </c>
      <c r="L11" s="105">
        <f t="shared" si="2"/>
        <v>2609.0551441685775</v>
      </c>
      <c r="M11" s="105">
        <f t="shared" si="2"/>
        <v>3178.2099960048454</v>
      </c>
      <c r="N11" s="106">
        <f t="shared" si="2"/>
        <v>1526.1441247700127</v>
      </c>
      <c r="O11" s="106">
        <f t="shared" si="2"/>
        <v>3221.038435899306</v>
      </c>
    </row>
    <row r="12" spans="1:15" ht="15.75" x14ac:dyDescent="0.25">
      <c r="B12" s="102" t="s">
        <v>108</v>
      </c>
      <c r="C12" s="103">
        <v>5.2453918495297804</v>
      </c>
      <c r="D12" s="104">
        <f t="shared" si="0"/>
        <v>2699.6822429222066</v>
      </c>
      <c r="E12" s="105">
        <f t="shared" si="0"/>
        <v>2262.8168961963629</v>
      </c>
      <c r="F12" s="105">
        <f t="shared" si="0"/>
        <v>2756.4412713521647</v>
      </c>
      <c r="G12" s="106">
        <f t="shared" si="0"/>
        <v>1323.6150716396139</v>
      </c>
      <c r="H12" s="106">
        <f t="shared" si="0"/>
        <v>2793.5861042804845</v>
      </c>
      <c r="I12" s="98"/>
      <c r="J12" s="107">
        <f t="shared" si="1"/>
        <v>4.7208526645768023</v>
      </c>
      <c r="K12" s="104">
        <f t="shared" si="2"/>
        <v>2429.7140186299857</v>
      </c>
      <c r="L12" s="105">
        <f t="shared" si="2"/>
        <v>2036.5352065767265</v>
      </c>
      <c r="M12" s="105">
        <f t="shared" si="2"/>
        <v>2480.7971442169483</v>
      </c>
      <c r="N12" s="106">
        <f t="shared" si="2"/>
        <v>1191.2535644756524</v>
      </c>
      <c r="O12" s="106">
        <f t="shared" si="2"/>
        <v>2514.2274938524361</v>
      </c>
    </row>
    <row r="13" spans="1:15" ht="15.75" x14ac:dyDescent="0.25">
      <c r="B13" s="102" t="s">
        <v>109</v>
      </c>
      <c r="C13" s="103">
        <v>3.8761128526645758</v>
      </c>
      <c r="D13" s="104">
        <f t="shared" si="0"/>
        <v>1994.9459144485377</v>
      </c>
      <c r="E13" s="105">
        <f t="shared" si="0"/>
        <v>1672.1217224904847</v>
      </c>
      <c r="F13" s="105">
        <f t="shared" si="0"/>
        <v>2036.8883290313181</v>
      </c>
      <c r="G13" s="106">
        <f t="shared" si="0"/>
        <v>978.09306498670242</v>
      </c>
      <c r="H13" s="106">
        <f t="shared" si="0"/>
        <v>2064.3367196289519</v>
      </c>
      <c r="I13" s="98"/>
      <c r="J13" s="107">
        <f t="shared" si="1"/>
        <v>3.4885015673981181</v>
      </c>
      <c r="K13" s="104">
        <f t="shared" si="2"/>
        <v>1795.4513230036837</v>
      </c>
      <c r="L13" s="105">
        <f t="shared" si="2"/>
        <v>1504.9095502414361</v>
      </c>
      <c r="M13" s="105">
        <f t="shared" si="2"/>
        <v>1833.1994961281862</v>
      </c>
      <c r="N13" s="106">
        <f t="shared" si="2"/>
        <v>880.28375848803216</v>
      </c>
      <c r="O13" s="106">
        <f t="shared" si="2"/>
        <v>1857.9030476660566</v>
      </c>
    </row>
    <row r="14" spans="1:15" ht="15.75" x14ac:dyDescent="0.25">
      <c r="B14" s="102" t="s">
        <v>8</v>
      </c>
      <c r="C14" s="103">
        <v>5.86</v>
      </c>
      <c r="D14" s="104">
        <f t="shared" si="0"/>
        <v>3016.0068870626542</v>
      </c>
      <c r="E14" s="105">
        <f t="shared" si="0"/>
        <v>2527.9535623061947</v>
      </c>
      <c r="F14" s="105">
        <f t="shared" si="0"/>
        <v>3079.4164313142187</v>
      </c>
      <c r="G14" s="106">
        <f t="shared" si="0"/>
        <v>1478.7044595159184</v>
      </c>
      <c r="H14" s="106">
        <f t="shared" si="0"/>
        <v>3120.9135638839175</v>
      </c>
      <c r="I14" s="98"/>
      <c r="J14" s="107">
        <f t="shared" si="1"/>
        <v>5.274</v>
      </c>
      <c r="K14" s="104">
        <f t="shared" si="2"/>
        <v>2714.4061983563884</v>
      </c>
      <c r="L14" s="105">
        <f t="shared" si="2"/>
        <v>2275.158206075575</v>
      </c>
      <c r="M14" s="105">
        <f t="shared" si="2"/>
        <v>2771.4747881827966</v>
      </c>
      <c r="N14" s="106">
        <f t="shared" si="2"/>
        <v>1330.8340135643266</v>
      </c>
      <c r="O14" s="106">
        <f t="shared" si="2"/>
        <v>2808.8222074955256</v>
      </c>
    </row>
    <row r="15" spans="1:15" ht="15.75" x14ac:dyDescent="0.25">
      <c r="B15" s="102" t="s">
        <v>110</v>
      </c>
      <c r="C15" s="103">
        <v>4.5741065830721004</v>
      </c>
      <c r="D15" s="104">
        <f t="shared" si="0"/>
        <v>2354.1871939768052</v>
      </c>
      <c r="E15" s="105">
        <f t="shared" si="0"/>
        <v>1973.230210075995</v>
      </c>
      <c r="F15" s="105">
        <f t="shared" si="0"/>
        <v>2403.6824181731677</v>
      </c>
      <c r="G15" s="106">
        <f t="shared" si="0"/>
        <v>1154.2238571143062</v>
      </c>
      <c r="H15" s="106">
        <f t="shared" si="0"/>
        <v>2436.0735968874465</v>
      </c>
      <c r="I15" s="98"/>
      <c r="J15" s="107">
        <f t="shared" si="1"/>
        <v>4.1166959247648904</v>
      </c>
      <c r="K15" s="104">
        <f t="shared" si="2"/>
        <v>2118.7684745791248</v>
      </c>
      <c r="L15" s="105">
        <f t="shared" si="2"/>
        <v>1775.9071890683956</v>
      </c>
      <c r="M15" s="105">
        <f t="shared" si="2"/>
        <v>2163.314176355851</v>
      </c>
      <c r="N15" s="106">
        <f t="shared" si="2"/>
        <v>1038.8014714028757</v>
      </c>
      <c r="O15" s="106">
        <f t="shared" si="2"/>
        <v>2192.4662371987019</v>
      </c>
    </row>
    <row r="16" spans="1:15" ht="15.75" x14ac:dyDescent="0.25">
      <c r="B16" s="102" t="s">
        <v>111</v>
      </c>
      <c r="C16" s="103">
        <v>3.3800626959247646</v>
      </c>
      <c r="D16" s="104">
        <f t="shared" si="0"/>
        <v>1739.6403361113739</v>
      </c>
      <c r="E16" s="105">
        <f t="shared" si="0"/>
        <v>1458.1299544336669</v>
      </c>
      <c r="F16" s="105">
        <f t="shared" si="0"/>
        <v>1776.2151202564771</v>
      </c>
      <c r="G16" s="106">
        <f t="shared" si="0"/>
        <v>852.92044059852333</v>
      </c>
      <c r="H16" s="106">
        <f t="shared" si="0"/>
        <v>1800.1507703907232</v>
      </c>
      <c r="I16" s="98"/>
      <c r="J16" s="107">
        <f t="shared" si="1"/>
        <v>3.0420564263322882</v>
      </c>
      <c r="K16" s="104">
        <f t="shared" si="2"/>
        <v>1565.6763025002365</v>
      </c>
      <c r="L16" s="105">
        <f t="shared" si="2"/>
        <v>1312.3169589903002</v>
      </c>
      <c r="M16" s="105">
        <f t="shared" si="2"/>
        <v>1598.5936082308294</v>
      </c>
      <c r="N16" s="106">
        <f t="shared" si="2"/>
        <v>767.62839653867104</v>
      </c>
      <c r="O16" s="106">
        <f t="shared" si="2"/>
        <v>1620.1356933516511</v>
      </c>
    </row>
    <row r="17" spans="2:15" ht="15.75" x14ac:dyDescent="0.25">
      <c r="B17" s="102" t="s">
        <v>47</v>
      </c>
      <c r="C17" s="103">
        <v>3.71</v>
      </c>
      <c r="D17" s="104">
        <f t="shared" si="0"/>
        <v>1909.4514592154344</v>
      </c>
      <c r="E17" s="105">
        <f t="shared" si="0"/>
        <v>1600.4620676034097</v>
      </c>
      <c r="F17" s="105">
        <f t="shared" si="0"/>
        <v>1949.5964095863058</v>
      </c>
      <c r="G17" s="106">
        <f t="shared" si="0"/>
        <v>936.17637283345687</v>
      </c>
      <c r="H17" s="106">
        <f t="shared" si="0"/>
        <v>1975.8684849845279</v>
      </c>
      <c r="I17" s="98"/>
      <c r="J17" s="107">
        <f t="shared" si="1"/>
        <v>3.339</v>
      </c>
      <c r="K17" s="104">
        <f t="shared" si="2"/>
        <v>1718.506313293891</v>
      </c>
      <c r="L17" s="105">
        <f t="shared" si="2"/>
        <v>1440.4158608430687</v>
      </c>
      <c r="M17" s="105">
        <f t="shared" si="2"/>
        <v>1754.6367686276751</v>
      </c>
      <c r="N17" s="106">
        <f t="shared" si="2"/>
        <v>842.55873555011112</v>
      </c>
      <c r="O17" s="106">
        <f t="shared" si="2"/>
        <v>1778.2816364860751</v>
      </c>
    </row>
    <row r="18" spans="2:15" ht="15.75" x14ac:dyDescent="0.25">
      <c r="B18" s="102" t="s">
        <v>112</v>
      </c>
      <c r="C18" s="103">
        <v>3.71</v>
      </c>
      <c r="D18" s="104">
        <f t="shared" si="0"/>
        <v>1909.4514592154344</v>
      </c>
      <c r="E18" s="105">
        <f t="shared" si="0"/>
        <v>1600.4620676034097</v>
      </c>
      <c r="F18" s="105">
        <f t="shared" si="0"/>
        <v>1949.5964095863058</v>
      </c>
      <c r="G18" s="106">
        <f t="shared" si="0"/>
        <v>936.17637283345687</v>
      </c>
      <c r="H18" s="106">
        <f t="shared" si="0"/>
        <v>1975.8684849845279</v>
      </c>
      <c r="I18" s="98"/>
      <c r="J18" s="107">
        <f t="shared" si="1"/>
        <v>3.339</v>
      </c>
      <c r="K18" s="104">
        <f t="shared" si="2"/>
        <v>1718.506313293891</v>
      </c>
      <c r="L18" s="105">
        <f t="shared" si="2"/>
        <v>1440.4158608430687</v>
      </c>
      <c r="M18" s="105">
        <f t="shared" si="2"/>
        <v>1754.6367686276751</v>
      </c>
      <c r="N18" s="106">
        <f t="shared" si="2"/>
        <v>842.55873555011112</v>
      </c>
      <c r="O18" s="106">
        <f t="shared" si="2"/>
        <v>1778.2816364860751</v>
      </c>
    </row>
    <row r="19" spans="2:15" ht="16.5" thickBot="1" x14ac:dyDescent="0.3">
      <c r="B19" s="99" t="s">
        <v>119</v>
      </c>
      <c r="C19" s="100" t="str">
        <f>"===="</f>
        <v>====</v>
      </c>
      <c r="D19" s="101" t="s">
        <v>120</v>
      </c>
      <c r="E19" s="101" t="s">
        <v>120</v>
      </c>
      <c r="F19" s="101" t="s">
        <v>120</v>
      </c>
      <c r="G19" s="101" t="s">
        <v>120</v>
      </c>
      <c r="H19" s="101" t="s">
        <v>120</v>
      </c>
      <c r="I19" s="98"/>
      <c r="J19" s="100" t="str">
        <f>"===="</f>
        <v>====</v>
      </c>
      <c r="K19" s="101" t="s">
        <v>120</v>
      </c>
      <c r="L19" s="101" t="s">
        <v>120</v>
      </c>
      <c r="M19" s="101" t="s">
        <v>120</v>
      </c>
      <c r="N19" s="101" t="s">
        <v>120</v>
      </c>
      <c r="O19" s="101" t="s">
        <v>120</v>
      </c>
    </row>
    <row r="20" spans="2:15" ht="15.75" x14ac:dyDescent="0.25">
      <c r="B20" s="110" t="s">
        <v>48</v>
      </c>
      <c r="C20" s="111">
        <v>44.32</v>
      </c>
      <c r="D20" s="159">
        <v>5.4589999999999996</v>
      </c>
      <c r="E20" s="159">
        <v>4.6870000000000003</v>
      </c>
      <c r="F20" s="159">
        <v>5.6349999999999998</v>
      </c>
      <c r="G20" s="160">
        <v>2.669</v>
      </c>
      <c r="H20" s="160">
        <v>5.6079999999999997</v>
      </c>
      <c r="I20" s="98"/>
      <c r="J20" s="114">
        <f t="shared" ref="J20:O20" si="3">C20*(1-0.15)</f>
        <v>37.671999999999997</v>
      </c>
      <c r="K20" s="112">
        <f t="shared" si="3"/>
        <v>4.6401499999999993</v>
      </c>
      <c r="L20" s="112">
        <f t="shared" si="3"/>
        <v>3.9839500000000001</v>
      </c>
      <c r="M20" s="112">
        <f t="shared" si="3"/>
        <v>4.7897499999999997</v>
      </c>
      <c r="N20" s="113">
        <f t="shared" si="3"/>
        <v>2.2686500000000001</v>
      </c>
      <c r="O20" s="113">
        <f t="shared" si="3"/>
        <v>4.7667999999999999</v>
      </c>
    </row>
    <row r="21" spans="2:15" ht="15.75" x14ac:dyDescent="0.25">
      <c r="B21" s="99" t="s">
        <v>119</v>
      </c>
      <c r="C21" s="100" t="str">
        <f>"===="</f>
        <v>====</v>
      </c>
      <c r="D21" s="101" t="s">
        <v>120</v>
      </c>
      <c r="E21" s="101" t="s">
        <v>120</v>
      </c>
      <c r="F21" s="101" t="s">
        <v>120</v>
      </c>
      <c r="G21" s="101" t="s">
        <v>120</v>
      </c>
      <c r="H21" s="101" t="s">
        <v>120</v>
      </c>
      <c r="I21" s="98"/>
      <c r="J21" s="100" t="str">
        <f>"===="</f>
        <v>====</v>
      </c>
      <c r="K21" s="101" t="s">
        <v>120</v>
      </c>
      <c r="L21" s="101" t="s">
        <v>120</v>
      </c>
      <c r="M21" s="101" t="s">
        <v>120</v>
      </c>
      <c r="N21" s="101" t="s">
        <v>120</v>
      </c>
      <c r="O21" s="101" t="s">
        <v>120</v>
      </c>
    </row>
    <row r="22" spans="2:15" ht="15.75" x14ac:dyDescent="0.25">
      <c r="B22" s="115" t="s">
        <v>9</v>
      </c>
      <c r="C22" s="116">
        <v>45.16</v>
      </c>
      <c r="D22" s="121">
        <f>($C22/$C$20)*D$20</f>
        <v>5.5624648014440421</v>
      </c>
      <c r="E22" s="161">
        <f t="shared" ref="E22:H38" si="4">($C22/$C$20)*E$20</f>
        <v>4.7758330324909739</v>
      </c>
      <c r="F22" s="161">
        <f t="shared" si="4"/>
        <v>5.7418005415162439</v>
      </c>
      <c r="G22" s="162">
        <f t="shared" si="4"/>
        <v>2.7195857400722017</v>
      </c>
      <c r="H22" s="162">
        <f t="shared" si="4"/>
        <v>5.7142888086642589</v>
      </c>
      <c r="I22" s="98"/>
      <c r="J22" s="120">
        <f>C22*(1-0.15)</f>
        <v>38.385999999999996</v>
      </c>
      <c r="K22" s="117">
        <f>($J22/$J$20)*K$20</f>
        <v>4.728095081227436</v>
      </c>
      <c r="L22" s="118">
        <f t="shared" ref="L22:O22" si="5">($J22/$J$20)*L$20</f>
        <v>4.0594580776173288</v>
      </c>
      <c r="M22" s="118">
        <f t="shared" si="5"/>
        <v>4.8805304602888082</v>
      </c>
      <c r="N22" s="119">
        <f t="shared" si="5"/>
        <v>2.3116478790613719</v>
      </c>
      <c r="O22" s="119">
        <f t="shared" si="5"/>
        <v>4.8571454873646207</v>
      </c>
    </row>
    <row r="23" spans="2:15" ht="15.75" x14ac:dyDescent="0.25">
      <c r="B23" s="115" t="s">
        <v>10</v>
      </c>
      <c r="C23" s="116">
        <v>49.21</v>
      </c>
      <c r="D23" s="121">
        <f t="shared" ref="D23:H49" si="6">($C23/$C$20)*D$20</f>
        <v>6.0613129512635373</v>
      </c>
      <c r="E23" s="161">
        <f t="shared" si="4"/>
        <v>5.2041351534296032</v>
      </c>
      <c r="F23" s="161">
        <f t="shared" si="4"/>
        <v>6.2567317238267144</v>
      </c>
      <c r="G23" s="162">
        <f t="shared" si="4"/>
        <v>2.9634812725631772</v>
      </c>
      <c r="H23" s="162">
        <f t="shared" si="4"/>
        <v>6.2267527075812268</v>
      </c>
      <c r="I23" s="98"/>
      <c r="J23" s="120">
        <f t="shared" ref="J23:J52" si="7">C23*(1-0.15)</f>
        <v>41.828499999999998</v>
      </c>
      <c r="K23" s="117">
        <f t="shared" ref="K23:O52" si="8">($J23/$J$20)*K$20</f>
        <v>5.1521160085740068</v>
      </c>
      <c r="L23" s="118">
        <f t="shared" si="8"/>
        <v>4.4235148804151629</v>
      </c>
      <c r="M23" s="118">
        <f t="shared" si="8"/>
        <v>5.3182219652527074</v>
      </c>
      <c r="N23" s="119">
        <f t="shared" si="8"/>
        <v>2.5189590816787004</v>
      </c>
      <c r="O23" s="119">
        <f t="shared" si="8"/>
        <v>5.2927398014440437</v>
      </c>
    </row>
    <row r="24" spans="2:15" ht="15.75" x14ac:dyDescent="0.25">
      <c r="B24" s="115" t="s">
        <v>11</v>
      </c>
      <c r="C24" s="116">
        <v>44.32</v>
      </c>
      <c r="D24" s="121">
        <f t="shared" si="6"/>
        <v>5.4589999999999996</v>
      </c>
      <c r="E24" s="161">
        <f t="shared" si="4"/>
        <v>4.6870000000000003</v>
      </c>
      <c r="F24" s="161">
        <f t="shared" si="4"/>
        <v>5.6349999999999998</v>
      </c>
      <c r="G24" s="162">
        <f t="shared" si="4"/>
        <v>2.669</v>
      </c>
      <c r="H24" s="162">
        <f t="shared" si="4"/>
        <v>5.6079999999999997</v>
      </c>
      <c r="I24" s="98"/>
      <c r="J24" s="120">
        <f t="shared" si="7"/>
        <v>37.671999999999997</v>
      </c>
      <c r="K24" s="117">
        <f t="shared" si="8"/>
        <v>4.6401499999999993</v>
      </c>
      <c r="L24" s="118">
        <f t="shared" si="8"/>
        <v>3.9839500000000001</v>
      </c>
      <c r="M24" s="118">
        <f t="shared" si="8"/>
        <v>4.7897499999999997</v>
      </c>
      <c r="N24" s="119">
        <f t="shared" si="8"/>
        <v>2.2686500000000001</v>
      </c>
      <c r="O24" s="119">
        <f t="shared" si="8"/>
        <v>4.7667999999999999</v>
      </c>
    </row>
    <row r="25" spans="2:15" ht="15.75" x14ac:dyDescent="0.25">
      <c r="B25" s="115" t="s">
        <v>12</v>
      </c>
      <c r="C25" s="116">
        <v>56.02</v>
      </c>
      <c r="D25" s="121">
        <f t="shared" si="6"/>
        <v>6.9001168772563171</v>
      </c>
      <c r="E25" s="161">
        <f t="shared" si="4"/>
        <v>5.9243172382671485</v>
      </c>
      <c r="F25" s="161">
        <f t="shared" si="4"/>
        <v>7.1225789711191334</v>
      </c>
      <c r="G25" s="162">
        <f t="shared" si="4"/>
        <v>3.3735870938628159</v>
      </c>
      <c r="H25" s="162">
        <f t="shared" si="4"/>
        <v>7.0884512635379053</v>
      </c>
      <c r="I25" s="98"/>
      <c r="J25" s="120">
        <f t="shared" si="7"/>
        <v>47.617000000000004</v>
      </c>
      <c r="K25" s="117">
        <f t="shared" si="8"/>
        <v>5.8650993456678702</v>
      </c>
      <c r="L25" s="118">
        <f t="shared" si="8"/>
        <v>5.0356696525270763</v>
      </c>
      <c r="M25" s="118">
        <f t="shared" si="8"/>
        <v>6.0541921254512641</v>
      </c>
      <c r="N25" s="119">
        <f t="shared" si="8"/>
        <v>2.8675490297833939</v>
      </c>
      <c r="O25" s="119">
        <f t="shared" si="8"/>
        <v>6.0251835740072215</v>
      </c>
    </row>
    <row r="26" spans="2:15" ht="15.75" x14ac:dyDescent="0.25">
      <c r="B26" s="115" t="s">
        <v>121</v>
      </c>
      <c r="C26" s="116">
        <v>79.260000000000005</v>
      </c>
      <c r="D26" s="121">
        <f t="shared" si="6"/>
        <v>9.7626430505415165</v>
      </c>
      <c r="E26" s="161">
        <f t="shared" si="4"/>
        <v>8.3820311371841161</v>
      </c>
      <c r="F26" s="161">
        <f t="shared" si="4"/>
        <v>10.077393953068592</v>
      </c>
      <c r="G26" s="162">
        <f t="shared" si="4"/>
        <v>4.7731259025270765</v>
      </c>
      <c r="H26" s="162">
        <f t="shared" si="4"/>
        <v>10.029108303249098</v>
      </c>
      <c r="I26" s="98"/>
      <c r="J26" s="120">
        <f t="shared" si="7"/>
        <v>67.371000000000009</v>
      </c>
      <c r="K26" s="117">
        <f t="shared" si="8"/>
        <v>8.2982465929602895</v>
      </c>
      <c r="L26" s="118">
        <f t="shared" si="8"/>
        <v>7.1247264666065</v>
      </c>
      <c r="M26" s="118">
        <f t="shared" si="8"/>
        <v>8.5657848601083035</v>
      </c>
      <c r="N26" s="119">
        <f t="shared" si="8"/>
        <v>4.0571570171480156</v>
      </c>
      <c r="O26" s="119">
        <f t="shared" si="8"/>
        <v>8.5247420577617348</v>
      </c>
    </row>
    <row r="27" spans="2:15" ht="15.75" x14ac:dyDescent="0.25">
      <c r="B27" s="115" t="s">
        <v>13</v>
      </c>
      <c r="C27" s="116">
        <v>51.29</v>
      </c>
      <c r="D27" s="121">
        <f t="shared" si="6"/>
        <v>6.3175115072202166</v>
      </c>
      <c r="E27" s="161">
        <f t="shared" si="4"/>
        <v>5.4241026624548736</v>
      </c>
      <c r="F27" s="161">
        <f t="shared" si="4"/>
        <v>6.5211902075812276</v>
      </c>
      <c r="G27" s="162">
        <f t="shared" si="4"/>
        <v>3.0887412003610111</v>
      </c>
      <c r="H27" s="162">
        <f t="shared" si="4"/>
        <v>6.4899440433212989</v>
      </c>
      <c r="I27" s="98"/>
      <c r="J27" s="120">
        <f t="shared" si="7"/>
        <v>43.596499999999999</v>
      </c>
      <c r="K27" s="117">
        <f t="shared" si="8"/>
        <v>5.3698847811371833</v>
      </c>
      <c r="L27" s="118">
        <f t="shared" si="8"/>
        <v>4.6104872630866431</v>
      </c>
      <c r="M27" s="118">
        <f t="shared" si="8"/>
        <v>5.5430116764440429</v>
      </c>
      <c r="N27" s="119">
        <f t="shared" si="8"/>
        <v>2.6254300203068595</v>
      </c>
      <c r="O27" s="119">
        <f t="shared" si="8"/>
        <v>5.5164524368231049</v>
      </c>
    </row>
    <row r="28" spans="2:15" ht="15.75" x14ac:dyDescent="0.25">
      <c r="B28" s="115" t="s">
        <v>14</v>
      </c>
      <c r="C28" s="116">
        <v>36.08</v>
      </c>
      <c r="D28" s="121">
        <f t="shared" si="6"/>
        <v>4.4440595667870024</v>
      </c>
      <c r="E28" s="161">
        <f t="shared" si="4"/>
        <v>3.8155902527075809</v>
      </c>
      <c r="F28" s="161">
        <f t="shared" si="4"/>
        <v>4.5873375451263527</v>
      </c>
      <c r="G28" s="162">
        <f t="shared" si="4"/>
        <v>2.1727779783393499</v>
      </c>
      <c r="H28" s="162">
        <f t="shared" si="4"/>
        <v>4.5653574007220206</v>
      </c>
      <c r="I28" s="98"/>
      <c r="J28" s="120">
        <f t="shared" si="7"/>
        <v>30.667999999999999</v>
      </c>
      <c r="K28" s="117">
        <f t="shared" si="8"/>
        <v>3.7774506317689527</v>
      </c>
      <c r="L28" s="118">
        <f t="shared" si="8"/>
        <v>3.2432517148014441</v>
      </c>
      <c r="M28" s="118">
        <f t="shared" si="8"/>
        <v>3.8992369133574005</v>
      </c>
      <c r="N28" s="119">
        <f t="shared" si="8"/>
        <v>1.8468612815884478</v>
      </c>
      <c r="O28" s="119">
        <f t="shared" si="8"/>
        <v>3.8805537906137184</v>
      </c>
    </row>
    <row r="29" spans="2:15" ht="15.75" x14ac:dyDescent="0.25">
      <c r="B29" s="115" t="s">
        <v>15</v>
      </c>
      <c r="C29" s="116">
        <v>39</v>
      </c>
      <c r="D29" s="121">
        <f t="shared" si="6"/>
        <v>4.8037229241877251</v>
      </c>
      <c r="E29" s="161">
        <f t="shared" si="4"/>
        <v>4.1243907942238272</v>
      </c>
      <c r="F29" s="161">
        <f t="shared" si="4"/>
        <v>4.9585965703971118</v>
      </c>
      <c r="G29" s="162">
        <f t="shared" si="4"/>
        <v>2.3486236462093864</v>
      </c>
      <c r="H29" s="162">
        <f t="shared" si="4"/>
        <v>4.9348375451263529</v>
      </c>
      <c r="I29" s="98"/>
      <c r="J29" s="120">
        <f t="shared" si="7"/>
        <v>33.15</v>
      </c>
      <c r="K29" s="117">
        <f t="shared" si="8"/>
        <v>4.0831644855595668</v>
      </c>
      <c r="L29" s="118">
        <f t="shared" si="8"/>
        <v>3.505732175090253</v>
      </c>
      <c r="M29" s="118">
        <f t="shared" si="8"/>
        <v>4.2148070848375454</v>
      </c>
      <c r="N29" s="119">
        <f t="shared" si="8"/>
        <v>1.9963300992779784</v>
      </c>
      <c r="O29" s="119">
        <f t="shared" si="8"/>
        <v>4.1946119133574014</v>
      </c>
    </row>
    <row r="30" spans="2:15" ht="15.75" x14ac:dyDescent="0.25">
      <c r="B30" s="115" t="s">
        <v>16</v>
      </c>
      <c r="C30" s="116">
        <v>42.94</v>
      </c>
      <c r="D30" s="121">
        <f t="shared" si="6"/>
        <v>5.289022111913356</v>
      </c>
      <c r="E30" s="161">
        <f t="shared" si="4"/>
        <v>4.5410600180505414</v>
      </c>
      <c r="F30" s="161">
        <f t="shared" si="4"/>
        <v>5.4595419675090247</v>
      </c>
      <c r="G30" s="162">
        <f t="shared" si="4"/>
        <v>2.5858948555956678</v>
      </c>
      <c r="H30" s="162">
        <f t="shared" si="4"/>
        <v>5.4333826714801434</v>
      </c>
      <c r="I30" s="98"/>
      <c r="J30" s="120">
        <f t="shared" si="7"/>
        <v>36.498999999999995</v>
      </c>
      <c r="K30" s="117">
        <f t="shared" si="8"/>
        <v>4.4956687951263534</v>
      </c>
      <c r="L30" s="118">
        <f t="shared" si="8"/>
        <v>3.8599010153429605</v>
      </c>
      <c r="M30" s="118">
        <f t="shared" si="8"/>
        <v>4.640610672382671</v>
      </c>
      <c r="N30" s="119">
        <f t="shared" si="8"/>
        <v>2.1980106272563176</v>
      </c>
      <c r="O30" s="119">
        <f t="shared" si="8"/>
        <v>4.6183752707581229</v>
      </c>
    </row>
    <row r="31" spans="2:15" ht="15.75" x14ac:dyDescent="0.25">
      <c r="B31" s="115" t="s">
        <v>17</v>
      </c>
      <c r="C31" s="116">
        <v>26.59</v>
      </c>
      <c r="D31" s="121">
        <f t="shared" si="6"/>
        <v>3.2751536552346567</v>
      </c>
      <c r="E31" s="161">
        <f t="shared" si="4"/>
        <v>2.8119884927797836</v>
      </c>
      <c r="F31" s="161">
        <f t="shared" si="4"/>
        <v>3.3807457129963896</v>
      </c>
      <c r="G31" s="162">
        <f t="shared" si="4"/>
        <v>1.6012795577617329</v>
      </c>
      <c r="H31" s="162">
        <f t="shared" si="4"/>
        <v>3.3645469314079417</v>
      </c>
      <c r="I31" s="98"/>
      <c r="J31" s="120">
        <f t="shared" si="7"/>
        <v>22.601499999999998</v>
      </c>
      <c r="K31" s="117">
        <f t="shared" si="8"/>
        <v>2.7838806069494582</v>
      </c>
      <c r="L31" s="118">
        <f t="shared" si="8"/>
        <v>2.3901902188628159</v>
      </c>
      <c r="M31" s="118">
        <f t="shared" si="8"/>
        <v>2.873633856046931</v>
      </c>
      <c r="N31" s="119">
        <f t="shared" si="8"/>
        <v>1.361087624097473</v>
      </c>
      <c r="O31" s="119">
        <f t="shared" si="8"/>
        <v>2.8598648916967506</v>
      </c>
    </row>
    <row r="32" spans="2:15" ht="15.75" x14ac:dyDescent="0.25">
      <c r="B32" s="115" t="s">
        <v>18</v>
      </c>
      <c r="C32" s="116">
        <v>33.340000000000003</v>
      </c>
      <c r="D32" s="121">
        <f t="shared" si="6"/>
        <v>4.1065672382671483</v>
      </c>
      <c r="E32" s="161">
        <f t="shared" si="4"/>
        <v>3.5258253610108308</v>
      </c>
      <c r="F32" s="161">
        <f t="shared" si="4"/>
        <v>4.2389643501805052</v>
      </c>
      <c r="G32" s="162">
        <f t="shared" si="4"/>
        <v>2.0077721119133574</v>
      </c>
      <c r="H32" s="162">
        <f t="shared" si="4"/>
        <v>4.2186534296028881</v>
      </c>
      <c r="I32" s="98"/>
      <c r="J32" s="120">
        <f t="shared" si="7"/>
        <v>28.339000000000002</v>
      </c>
      <c r="K32" s="117">
        <f t="shared" si="8"/>
        <v>3.4905821525270762</v>
      </c>
      <c r="L32" s="118">
        <f t="shared" si="8"/>
        <v>2.9969515568592064</v>
      </c>
      <c r="M32" s="118">
        <f t="shared" si="8"/>
        <v>3.6031196976534301</v>
      </c>
      <c r="N32" s="119">
        <f t="shared" si="8"/>
        <v>1.7066062951263541</v>
      </c>
      <c r="O32" s="119">
        <f t="shared" si="8"/>
        <v>3.5858554151624555</v>
      </c>
    </row>
    <row r="33" spans="2:15" ht="15.75" x14ac:dyDescent="0.25">
      <c r="B33" s="115" t="s">
        <v>19</v>
      </c>
      <c r="C33" s="116">
        <v>61.91</v>
      </c>
      <c r="D33" s="121">
        <f t="shared" si="6"/>
        <v>7.6256022111913344</v>
      </c>
      <c r="E33" s="161">
        <f t="shared" si="4"/>
        <v>6.547206001805054</v>
      </c>
      <c r="F33" s="161">
        <f t="shared" si="4"/>
        <v>7.8714541967509017</v>
      </c>
      <c r="G33" s="162">
        <f t="shared" si="4"/>
        <v>3.7282894855595665</v>
      </c>
      <c r="H33" s="162">
        <f t="shared" si="4"/>
        <v>7.8337382671480134</v>
      </c>
      <c r="I33" s="98"/>
      <c r="J33" s="120">
        <f t="shared" si="7"/>
        <v>52.623499999999993</v>
      </c>
      <c r="K33" s="117">
        <f t="shared" si="8"/>
        <v>6.4817618795126339</v>
      </c>
      <c r="L33" s="118">
        <f t="shared" si="8"/>
        <v>5.5651251015342957</v>
      </c>
      <c r="M33" s="118">
        <f t="shared" si="8"/>
        <v>6.6907360672382659</v>
      </c>
      <c r="N33" s="119">
        <f t="shared" si="8"/>
        <v>3.1690460627256316</v>
      </c>
      <c r="O33" s="119">
        <f t="shared" si="8"/>
        <v>6.6586775270758114</v>
      </c>
    </row>
    <row r="34" spans="2:15" ht="15.75" x14ac:dyDescent="0.25">
      <c r="B34" s="115" t="s">
        <v>20</v>
      </c>
      <c r="C34" s="116">
        <v>24.87</v>
      </c>
      <c r="D34" s="121">
        <f t="shared" si="6"/>
        <v>3.0632971570397109</v>
      </c>
      <c r="E34" s="161">
        <f t="shared" si="4"/>
        <v>2.6300922833935019</v>
      </c>
      <c r="F34" s="161">
        <f t="shared" si="4"/>
        <v>3.1620588898916964</v>
      </c>
      <c r="G34" s="162">
        <f t="shared" si="4"/>
        <v>1.4976992328519856</v>
      </c>
      <c r="H34" s="162">
        <f t="shared" si="4"/>
        <v>3.1469079422382666</v>
      </c>
      <c r="I34" s="98"/>
      <c r="J34" s="120">
        <f t="shared" si="7"/>
        <v>21.139500000000002</v>
      </c>
      <c r="K34" s="117">
        <f t="shared" si="8"/>
        <v>2.6038025834837546</v>
      </c>
      <c r="L34" s="118">
        <f t="shared" si="8"/>
        <v>2.2355784408844768</v>
      </c>
      <c r="M34" s="118">
        <f t="shared" si="8"/>
        <v>2.6877500564079426</v>
      </c>
      <c r="N34" s="119">
        <f t="shared" si="8"/>
        <v>1.273044347924188</v>
      </c>
      <c r="O34" s="119">
        <f t="shared" si="8"/>
        <v>2.6748717509025273</v>
      </c>
    </row>
    <row r="35" spans="2:15" ht="15.75" x14ac:dyDescent="0.25">
      <c r="B35" s="115" t="s">
        <v>21</v>
      </c>
      <c r="C35" s="116">
        <v>20.36</v>
      </c>
      <c r="D35" s="121">
        <f t="shared" si="6"/>
        <v>2.5077897111913354</v>
      </c>
      <c r="E35" s="161">
        <f t="shared" si="4"/>
        <v>2.153143501805054</v>
      </c>
      <c r="F35" s="161">
        <f t="shared" si="4"/>
        <v>2.5886416967509023</v>
      </c>
      <c r="G35" s="162">
        <f t="shared" si="4"/>
        <v>1.2261019855595667</v>
      </c>
      <c r="H35" s="162">
        <f t="shared" si="4"/>
        <v>2.576238267148014</v>
      </c>
      <c r="I35" s="98"/>
      <c r="J35" s="120">
        <f t="shared" si="7"/>
        <v>17.305999999999997</v>
      </c>
      <c r="K35" s="117">
        <f t="shared" si="8"/>
        <v>2.131621254512635</v>
      </c>
      <c r="L35" s="118">
        <f t="shared" si="8"/>
        <v>1.8301719765342961</v>
      </c>
      <c r="M35" s="118">
        <f t="shared" si="8"/>
        <v>2.2003454422382669</v>
      </c>
      <c r="N35" s="119">
        <f t="shared" si="8"/>
        <v>1.0421866877256318</v>
      </c>
      <c r="O35" s="119">
        <f t="shared" si="8"/>
        <v>2.1898025270758121</v>
      </c>
    </row>
    <row r="36" spans="2:15" ht="15.75" x14ac:dyDescent="0.25">
      <c r="B36" s="115" t="s">
        <v>22</v>
      </c>
      <c r="C36" s="116">
        <v>102.24</v>
      </c>
      <c r="D36" s="121">
        <f t="shared" si="6"/>
        <v>12.593144404332129</v>
      </c>
      <c r="E36" s="161">
        <f t="shared" si="4"/>
        <v>10.812249097472925</v>
      </c>
      <c r="F36" s="161">
        <f t="shared" si="4"/>
        <v>12.999151624548736</v>
      </c>
      <c r="G36" s="162">
        <f t="shared" si="4"/>
        <v>6.157007220216606</v>
      </c>
      <c r="H36" s="162">
        <f t="shared" si="4"/>
        <v>12.936866425992779</v>
      </c>
      <c r="I36" s="98"/>
      <c r="J36" s="120">
        <f t="shared" si="7"/>
        <v>86.903999999999996</v>
      </c>
      <c r="K36" s="117">
        <f t="shared" si="8"/>
        <v>10.704172743682308</v>
      </c>
      <c r="L36" s="118">
        <f t="shared" si="8"/>
        <v>9.1904117328519863</v>
      </c>
      <c r="M36" s="118">
        <f t="shared" si="8"/>
        <v>11.049278880866424</v>
      </c>
      <c r="N36" s="119">
        <f t="shared" si="8"/>
        <v>5.2334561371841151</v>
      </c>
      <c r="O36" s="119">
        <f t="shared" si="8"/>
        <v>10.996336462093863</v>
      </c>
    </row>
    <row r="37" spans="2:15" ht="15.75" x14ac:dyDescent="0.25">
      <c r="B37" s="115" t="s">
        <v>23</v>
      </c>
      <c r="C37" s="116">
        <v>96.82</v>
      </c>
      <c r="D37" s="121">
        <f t="shared" si="6"/>
        <v>11.925550090252706</v>
      </c>
      <c r="E37" s="161">
        <f t="shared" si="4"/>
        <v>10.239064530685921</v>
      </c>
      <c r="F37" s="161">
        <f t="shared" si="4"/>
        <v>12.310033844765343</v>
      </c>
      <c r="G37" s="162">
        <f t="shared" si="4"/>
        <v>5.8306087545126353</v>
      </c>
      <c r="H37" s="162">
        <f t="shared" si="4"/>
        <v>12.251050541516245</v>
      </c>
      <c r="I37" s="98"/>
      <c r="J37" s="120">
        <f t="shared" si="7"/>
        <v>82.296999999999997</v>
      </c>
      <c r="K37" s="117">
        <f t="shared" si="8"/>
        <v>10.136717576714799</v>
      </c>
      <c r="L37" s="118">
        <f t="shared" si="8"/>
        <v>8.7032048510830329</v>
      </c>
      <c r="M37" s="118">
        <f t="shared" si="8"/>
        <v>10.463528768050541</v>
      </c>
      <c r="N37" s="119">
        <f t="shared" si="8"/>
        <v>4.9560174413357405</v>
      </c>
      <c r="O37" s="119">
        <f t="shared" si="8"/>
        <v>10.413392960288808</v>
      </c>
    </row>
    <row r="38" spans="2:15" ht="15.75" x14ac:dyDescent="0.25">
      <c r="B38" s="115" t="s">
        <v>24</v>
      </c>
      <c r="C38" s="116">
        <v>41.8</v>
      </c>
      <c r="D38" s="121">
        <f t="shared" si="6"/>
        <v>5.1486055956678696</v>
      </c>
      <c r="E38" s="161">
        <f t="shared" si="4"/>
        <v>4.4205009025270758</v>
      </c>
      <c r="F38" s="161">
        <f t="shared" si="4"/>
        <v>5.3145983754512631</v>
      </c>
      <c r="G38" s="162">
        <f t="shared" si="4"/>
        <v>2.5172427797833934</v>
      </c>
      <c r="H38" s="162">
        <f t="shared" si="4"/>
        <v>5.2891335740072201</v>
      </c>
      <c r="I38" s="98"/>
      <c r="J38" s="120">
        <f t="shared" si="7"/>
        <v>35.529999999999994</v>
      </c>
      <c r="K38" s="117">
        <f t="shared" si="8"/>
        <v>4.3763147563176892</v>
      </c>
      <c r="L38" s="118">
        <f t="shared" si="8"/>
        <v>3.7574257671480145</v>
      </c>
      <c r="M38" s="118">
        <f t="shared" si="8"/>
        <v>4.5174086191335734</v>
      </c>
      <c r="N38" s="119">
        <f t="shared" si="8"/>
        <v>2.1396563628158844</v>
      </c>
      <c r="O38" s="119">
        <f t="shared" si="8"/>
        <v>4.4957635379061367</v>
      </c>
    </row>
    <row r="39" spans="2:15" ht="15.75" x14ac:dyDescent="0.25">
      <c r="B39" s="115" t="s">
        <v>25</v>
      </c>
      <c r="C39" s="116">
        <v>29.8</v>
      </c>
      <c r="D39" s="121">
        <f t="shared" si="6"/>
        <v>3.6705370036101082</v>
      </c>
      <c r="E39" s="161">
        <f t="shared" si="6"/>
        <v>3.151457581227437</v>
      </c>
      <c r="F39" s="161">
        <f t="shared" si="6"/>
        <v>3.7888763537906138</v>
      </c>
      <c r="G39" s="162">
        <f t="shared" si="6"/>
        <v>1.7945893501805055</v>
      </c>
      <c r="H39" s="162">
        <f t="shared" si="6"/>
        <v>3.7707220216606498</v>
      </c>
      <c r="I39" s="98"/>
      <c r="J39" s="120">
        <f t="shared" si="7"/>
        <v>25.33</v>
      </c>
      <c r="K39" s="117">
        <f t="shared" si="8"/>
        <v>3.1199564530685917</v>
      </c>
      <c r="L39" s="118">
        <f t="shared" si="8"/>
        <v>2.6787389440433214</v>
      </c>
      <c r="M39" s="118">
        <f t="shared" si="8"/>
        <v>3.2205449007220217</v>
      </c>
      <c r="N39" s="119">
        <f t="shared" si="8"/>
        <v>1.5254009476534296</v>
      </c>
      <c r="O39" s="119">
        <f t="shared" si="8"/>
        <v>3.2051137184115523</v>
      </c>
    </row>
    <row r="40" spans="2:15" ht="15.75" x14ac:dyDescent="0.25">
      <c r="B40" s="115" t="s">
        <v>26</v>
      </c>
      <c r="C40" s="116">
        <v>45.04</v>
      </c>
      <c r="D40" s="121">
        <f t="shared" si="6"/>
        <v>5.5476841155234657</v>
      </c>
      <c r="E40" s="161">
        <f t="shared" si="6"/>
        <v>4.7631425992779786</v>
      </c>
      <c r="F40" s="161">
        <f t="shared" si="6"/>
        <v>5.7265433212996388</v>
      </c>
      <c r="G40" s="162">
        <f t="shared" si="6"/>
        <v>2.7123592057761732</v>
      </c>
      <c r="H40" s="162">
        <f t="shared" si="6"/>
        <v>5.6991046931407938</v>
      </c>
      <c r="I40" s="98"/>
      <c r="J40" s="120">
        <f t="shared" si="7"/>
        <v>38.283999999999999</v>
      </c>
      <c r="K40" s="117">
        <f t="shared" si="8"/>
        <v>4.7155314981949452</v>
      </c>
      <c r="L40" s="118">
        <f t="shared" si="8"/>
        <v>4.0486712093862813</v>
      </c>
      <c r="M40" s="118">
        <f t="shared" si="8"/>
        <v>4.8675618231046931</v>
      </c>
      <c r="N40" s="119">
        <f t="shared" si="8"/>
        <v>2.3055053249097472</v>
      </c>
      <c r="O40" s="119">
        <f t="shared" si="8"/>
        <v>4.8442389891696749</v>
      </c>
    </row>
    <row r="41" spans="2:15" ht="15.75" x14ac:dyDescent="0.25">
      <c r="B41" s="115" t="s">
        <v>49</v>
      </c>
      <c r="C41" s="116">
        <v>47.81</v>
      </c>
      <c r="D41" s="121">
        <f t="shared" si="6"/>
        <v>5.8888716155234651</v>
      </c>
      <c r="E41" s="161">
        <f t="shared" si="6"/>
        <v>5.0560800992779784</v>
      </c>
      <c r="F41" s="161">
        <f t="shared" si="6"/>
        <v>6.0787308212996392</v>
      </c>
      <c r="G41" s="162">
        <f t="shared" si="6"/>
        <v>2.8791717057761734</v>
      </c>
      <c r="H41" s="162">
        <f t="shared" si="6"/>
        <v>6.0496046931407941</v>
      </c>
      <c r="I41" s="98"/>
      <c r="J41" s="120">
        <f t="shared" si="7"/>
        <v>40.638500000000001</v>
      </c>
      <c r="K41" s="117">
        <f t="shared" si="8"/>
        <v>5.0055408731949456</v>
      </c>
      <c r="L41" s="118">
        <f t="shared" si="8"/>
        <v>4.2976680843862818</v>
      </c>
      <c r="M41" s="118">
        <f t="shared" si="8"/>
        <v>5.166921198104693</v>
      </c>
      <c r="N41" s="119">
        <f t="shared" si="8"/>
        <v>2.4472959499097473</v>
      </c>
      <c r="O41" s="119">
        <f t="shared" si="8"/>
        <v>5.1421639891696751</v>
      </c>
    </row>
    <row r="42" spans="2:15" ht="15.75" x14ac:dyDescent="0.25">
      <c r="B42" s="115" t="s">
        <v>27</v>
      </c>
      <c r="C42" s="116">
        <v>66.400000000000006</v>
      </c>
      <c r="D42" s="121">
        <f t="shared" si="6"/>
        <v>8.1786462093862813</v>
      </c>
      <c r="E42" s="161">
        <f t="shared" si="6"/>
        <v>7.0220397111913373</v>
      </c>
      <c r="F42" s="161">
        <f t="shared" si="6"/>
        <v>8.4423285198555966</v>
      </c>
      <c r="G42" s="162">
        <f t="shared" si="6"/>
        <v>3.9986823104693148</v>
      </c>
      <c r="H42" s="162">
        <f t="shared" si="6"/>
        <v>8.4018772563176896</v>
      </c>
      <c r="I42" s="98"/>
      <c r="J42" s="120">
        <f t="shared" si="7"/>
        <v>56.440000000000005</v>
      </c>
      <c r="K42" s="117">
        <f t="shared" si="8"/>
        <v>6.9518492779783392</v>
      </c>
      <c r="L42" s="118">
        <f t="shared" si="8"/>
        <v>5.9687337545126367</v>
      </c>
      <c r="M42" s="118">
        <f t="shared" si="8"/>
        <v>7.1759792418772568</v>
      </c>
      <c r="N42" s="119">
        <f t="shared" si="8"/>
        <v>3.3988799638989176</v>
      </c>
      <c r="O42" s="119">
        <f t="shared" si="8"/>
        <v>7.1415956678700372</v>
      </c>
    </row>
    <row r="43" spans="2:15" ht="15.75" x14ac:dyDescent="0.25">
      <c r="B43" s="115" t="s">
        <v>28</v>
      </c>
      <c r="C43" s="116">
        <v>56.55</v>
      </c>
      <c r="D43" s="121">
        <f t="shared" si="6"/>
        <v>6.9653982400722017</v>
      </c>
      <c r="E43" s="161">
        <f t="shared" si="6"/>
        <v>5.9803666516245491</v>
      </c>
      <c r="F43" s="161">
        <f t="shared" si="6"/>
        <v>7.1899650270758118</v>
      </c>
      <c r="G43" s="162">
        <f t="shared" si="6"/>
        <v>3.4055042870036099</v>
      </c>
      <c r="H43" s="162">
        <f t="shared" si="6"/>
        <v>7.1555144404332118</v>
      </c>
      <c r="I43" s="98"/>
      <c r="J43" s="120">
        <f t="shared" si="7"/>
        <v>48.067499999999995</v>
      </c>
      <c r="K43" s="117">
        <f t="shared" si="8"/>
        <v>5.9205885040613708</v>
      </c>
      <c r="L43" s="118">
        <f t="shared" si="8"/>
        <v>5.083311653880866</v>
      </c>
      <c r="M43" s="118">
        <f t="shared" si="8"/>
        <v>6.1114702730144401</v>
      </c>
      <c r="N43" s="119">
        <f t="shared" si="8"/>
        <v>2.8946786439530685</v>
      </c>
      <c r="O43" s="119">
        <f t="shared" si="8"/>
        <v>6.0821872743682306</v>
      </c>
    </row>
    <row r="44" spans="2:15" ht="15.75" x14ac:dyDescent="0.25">
      <c r="B44" s="115" t="s">
        <v>29</v>
      </c>
      <c r="C44" s="116">
        <v>90.06</v>
      </c>
      <c r="D44" s="121">
        <f t="shared" si="6"/>
        <v>11.092904783393502</v>
      </c>
      <c r="E44" s="161">
        <f t="shared" si="6"/>
        <v>9.5241701263537912</v>
      </c>
      <c r="F44" s="161">
        <f t="shared" si="6"/>
        <v>11.450543772563176</v>
      </c>
      <c r="G44" s="162">
        <f t="shared" si="6"/>
        <v>5.4235139891696749</v>
      </c>
      <c r="H44" s="162">
        <f t="shared" si="6"/>
        <v>11.39567870036101</v>
      </c>
      <c r="I44" s="98"/>
      <c r="J44" s="120">
        <f t="shared" si="7"/>
        <v>76.551000000000002</v>
      </c>
      <c r="K44" s="117">
        <f t="shared" si="8"/>
        <v>9.4289690658844751</v>
      </c>
      <c r="L44" s="118">
        <f t="shared" si="8"/>
        <v>8.095544607400722</v>
      </c>
      <c r="M44" s="118">
        <f t="shared" si="8"/>
        <v>9.7329622066786996</v>
      </c>
      <c r="N44" s="119">
        <f t="shared" si="8"/>
        <v>4.6099868907942243</v>
      </c>
      <c r="O44" s="119">
        <f t="shared" si="8"/>
        <v>9.6863268953068591</v>
      </c>
    </row>
    <row r="45" spans="2:15" ht="15.75" x14ac:dyDescent="0.25">
      <c r="B45" s="115" t="s">
        <v>30</v>
      </c>
      <c r="C45" s="116">
        <v>88.16</v>
      </c>
      <c r="D45" s="121">
        <f t="shared" si="6"/>
        <v>10.858877256317689</v>
      </c>
      <c r="E45" s="161">
        <f t="shared" si="6"/>
        <v>9.3232382671480138</v>
      </c>
      <c r="F45" s="161">
        <f t="shared" si="6"/>
        <v>11.208971119133572</v>
      </c>
      <c r="G45" s="162">
        <f t="shared" si="6"/>
        <v>5.3090938628158844</v>
      </c>
      <c r="H45" s="162">
        <f t="shared" si="6"/>
        <v>11.155263537906135</v>
      </c>
      <c r="I45" s="98"/>
      <c r="J45" s="120">
        <f t="shared" si="7"/>
        <v>74.935999999999993</v>
      </c>
      <c r="K45" s="117">
        <f t="shared" si="8"/>
        <v>9.2300456678700353</v>
      </c>
      <c r="L45" s="118">
        <f t="shared" si="8"/>
        <v>7.924752527075813</v>
      </c>
      <c r="M45" s="118">
        <f t="shared" si="8"/>
        <v>9.5276254512635372</v>
      </c>
      <c r="N45" s="119">
        <f t="shared" si="8"/>
        <v>4.5127297833935023</v>
      </c>
      <c r="O45" s="119">
        <f t="shared" si="8"/>
        <v>9.4819740072202165</v>
      </c>
    </row>
    <row r="46" spans="2:15" ht="15.75" x14ac:dyDescent="0.25">
      <c r="B46" s="115" t="s">
        <v>31</v>
      </c>
      <c r="C46" s="116">
        <v>5.0599999999999996</v>
      </c>
      <c r="D46" s="121">
        <f t="shared" si="6"/>
        <v>0.62325225631768943</v>
      </c>
      <c r="E46" s="161">
        <f t="shared" si="6"/>
        <v>0.53511326714801444</v>
      </c>
      <c r="F46" s="161">
        <f t="shared" si="6"/>
        <v>0.64334611913357387</v>
      </c>
      <c r="G46" s="162">
        <f t="shared" si="6"/>
        <v>0.30471886281588445</v>
      </c>
      <c r="H46" s="162">
        <f t="shared" si="6"/>
        <v>0.6402635379061371</v>
      </c>
      <c r="I46" s="98"/>
      <c r="J46" s="120">
        <f t="shared" si="7"/>
        <v>4.3009999999999993</v>
      </c>
      <c r="K46" s="117">
        <f t="shared" si="8"/>
        <v>0.52976441787003592</v>
      </c>
      <c r="L46" s="118">
        <f t="shared" si="8"/>
        <v>0.45484627707581221</v>
      </c>
      <c r="M46" s="118">
        <f t="shared" si="8"/>
        <v>0.54684420126353783</v>
      </c>
      <c r="N46" s="119">
        <f t="shared" si="8"/>
        <v>0.25901103339350179</v>
      </c>
      <c r="O46" s="119">
        <f t="shared" si="8"/>
        <v>0.54422400722021658</v>
      </c>
    </row>
    <row r="47" spans="2:15" ht="15.75" x14ac:dyDescent="0.25">
      <c r="B47" s="115" t="s">
        <v>77</v>
      </c>
      <c r="C47" s="116">
        <v>89.95</v>
      </c>
      <c r="D47" s="121">
        <f t="shared" si="6"/>
        <v>11.079355821299638</v>
      </c>
      <c r="E47" s="121">
        <f t="shared" si="6"/>
        <v>9.5125372292418771</v>
      </c>
      <c r="F47" s="121">
        <f t="shared" si="6"/>
        <v>11.436557987364621</v>
      </c>
      <c r="G47" s="122">
        <f t="shared" si="6"/>
        <v>5.4168896660649821</v>
      </c>
      <c r="H47" s="122">
        <f t="shared" si="6"/>
        <v>11.381759927797834</v>
      </c>
      <c r="I47" s="98"/>
      <c r="J47" s="120">
        <f t="shared" si="7"/>
        <v>76.457499999999996</v>
      </c>
      <c r="K47" s="121">
        <f t="shared" si="8"/>
        <v>9.417452448104692</v>
      </c>
      <c r="L47" s="121">
        <f t="shared" si="8"/>
        <v>8.0856566448555967</v>
      </c>
      <c r="M47" s="121">
        <f t="shared" si="8"/>
        <v>9.7210742892599278</v>
      </c>
      <c r="N47" s="122">
        <f t="shared" si="8"/>
        <v>4.6043562161552343</v>
      </c>
      <c r="O47" s="122">
        <f t="shared" si="8"/>
        <v>9.6744959386281586</v>
      </c>
    </row>
    <row r="48" spans="2:15" ht="15.75" x14ac:dyDescent="0.25">
      <c r="B48" s="115" t="s">
        <v>78</v>
      </c>
      <c r="C48" s="116">
        <v>127.15</v>
      </c>
      <c r="D48" s="121">
        <f t="shared" si="6"/>
        <v>15.6613684566787</v>
      </c>
      <c r="E48" s="121">
        <f t="shared" si="6"/>
        <v>13.446571525270759</v>
      </c>
      <c r="F48" s="121">
        <f t="shared" si="6"/>
        <v>16.166296254512634</v>
      </c>
      <c r="G48" s="122">
        <f t="shared" si="6"/>
        <v>7.6571152978339345</v>
      </c>
      <c r="H48" s="122">
        <f t="shared" si="6"/>
        <v>16.088835740072202</v>
      </c>
      <c r="I48" s="98"/>
      <c r="J48" s="120">
        <f t="shared" si="7"/>
        <v>108.0775</v>
      </c>
      <c r="K48" s="121">
        <f t="shared" si="8"/>
        <v>13.312163188176894</v>
      </c>
      <c r="L48" s="121">
        <f t="shared" si="8"/>
        <v>11.429585796480145</v>
      </c>
      <c r="M48" s="121">
        <f t="shared" si="8"/>
        <v>13.74135181633574</v>
      </c>
      <c r="N48" s="122">
        <f t="shared" si="8"/>
        <v>6.5085480031588459</v>
      </c>
      <c r="O48" s="122">
        <f t="shared" si="8"/>
        <v>13.675510379061373</v>
      </c>
    </row>
    <row r="49" spans="2:15" ht="15.75" x14ac:dyDescent="0.25">
      <c r="B49" s="115" t="s">
        <v>103</v>
      </c>
      <c r="C49" s="116">
        <v>496.12</v>
      </c>
      <c r="D49" s="121">
        <f t="shared" si="6"/>
        <v>61.108282490974723</v>
      </c>
      <c r="E49" s="121">
        <f t="shared" si="6"/>
        <v>52.466481046931406</v>
      </c>
      <c r="F49" s="121">
        <f t="shared" si="6"/>
        <v>63.078434115523457</v>
      </c>
      <c r="G49" s="122">
        <f t="shared" si="6"/>
        <v>29.876901624548736</v>
      </c>
      <c r="H49" s="122">
        <f t="shared" si="6"/>
        <v>62.776194945848367</v>
      </c>
      <c r="I49" s="98"/>
      <c r="J49" s="120">
        <f t="shared" si="7"/>
        <v>421.702</v>
      </c>
      <c r="K49" s="121">
        <f t="shared" si="8"/>
        <v>51.942040117328517</v>
      </c>
      <c r="L49" s="121">
        <f t="shared" si="8"/>
        <v>44.596508889891702</v>
      </c>
      <c r="M49" s="121">
        <f t="shared" si="8"/>
        <v>53.616668998194946</v>
      </c>
      <c r="N49" s="122">
        <f t="shared" si="8"/>
        <v>25.395366380866427</v>
      </c>
      <c r="O49" s="122">
        <f t="shared" si="8"/>
        <v>53.359765703971121</v>
      </c>
    </row>
    <row r="50" spans="2:15" ht="15.75" x14ac:dyDescent="0.25">
      <c r="B50" s="115" t="s">
        <v>105</v>
      </c>
      <c r="C50" s="123">
        <v>127</v>
      </c>
      <c r="D50" s="121">
        <f t="shared" ref="D50:H52" si="9">$C50*D$73/1000</f>
        <v>65.363971784463658</v>
      </c>
      <c r="E50" s="121">
        <f t="shared" si="9"/>
        <v>54.786706896397042</v>
      </c>
      <c r="F50" s="121">
        <f t="shared" si="9"/>
        <v>66.738205934625555</v>
      </c>
      <c r="G50" s="122">
        <f t="shared" si="9"/>
        <v>32.047007911010517</v>
      </c>
      <c r="H50" s="122">
        <f t="shared" si="9"/>
        <v>67.637546521033698</v>
      </c>
      <c r="I50" s="98"/>
      <c r="J50" s="124">
        <f t="shared" si="7"/>
        <v>107.95</v>
      </c>
      <c r="K50" s="121">
        <f t="shared" si="8"/>
        <v>13.296458709386281</v>
      </c>
      <c r="L50" s="121">
        <f t="shared" si="8"/>
        <v>11.416102211191337</v>
      </c>
      <c r="M50" s="121">
        <f t="shared" si="8"/>
        <v>13.725141019855597</v>
      </c>
      <c r="N50" s="122">
        <f t="shared" si="8"/>
        <v>6.5008698104693146</v>
      </c>
      <c r="O50" s="122">
        <f t="shared" si="8"/>
        <v>13.659377256317692</v>
      </c>
    </row>
    <row r="51" spans="2:15" ht="15.75" x14ac:dyDescent="0.25">
      <c r="B51" s="115" t="s">
        <v>102</v>
      </c>
      <c r="C51" s="123">
        <v>77</v>
      </c>
      <c r="D51" s="121">
        <f t="shared" si="9"/>
        <v>39.630124625225996</v>
      </c>
      <c r="E51" s="121">
        <f t="shared" si="9"/>
        <v>33.217137252146237</v>
      </c>
      <c r="F51" s="121">
        <f t="shared" si="9"/>
        <v>40.463321708395021</v>
      </c>
      <c r="G51" s="122">
        <f t="shared" si="9"/>
        <v>19.430075662581181</v>
      </c>
      <c r="H51" s="122">
        <f t="shared" si="9"/>
        <v>41.008591197792086</v>
      </c>
      <c r="I51" s="98"/>
      <c r="J51" s="124">
        <f t="shared" si="7"/>
        <v>65.45</v>
      </c>
      <c r="K51" s="121">
        <f t="shared" si="8"/>
        <v>8.0616324458483763</v>
      </c>
      <c r="L51" s="121">
        <f t="shared" si="8"/>
        <v>6.9215737815884486</v>
      </c>
      <c r="M51" s="121">
        <f t="shared" si="8"/>
        <v>8.3215421931407949</v>
      </c>
      <c r="N51" s="122">
        <f t="shared" si="8"/>
        <v>3.9414722472924195</v>
      </c>
      <c r="O51" s="122">
        <f t="shared" si="8"/>
        <v>8.281669675090253</v>
      </c>
    </row>
    <row r="52" spans="2:15" ht="15.75" x14ac:dyDescent="0.25">
      <c r="B52" s="125" t="s">
        <v>104</v>
      </c>
      <c r="C52" s="126">
        <v>52</v>
      </c>
      <c r="D52" s="127">
        <f t="shared" si="9"/>
        <v>26.763201045607165</v>
      </c>
      <c r="E52" s="127">
        <f t="shared" si="9"/>
        <v>22.432352430020838</v>
      </c>
      <c r="F52" s="127">
        <f t="shared" si="9"/>
        <v>27.325879595279755</v>
      </c>
      <c r="G52" s="128">
        <f t="shared" si="9"/>
        <v>13.12160953836651</v>
      </c>
      <c r="H52" s="128">
        <f t="shared" si="9"/>
        <v>27.69411353617128</v>
      </c>
      <c r="I52" s="98"/>
      <c r="J52" s="129">
        <f t="shared" si="7"/>
        <v>44.199999999999996</v>
      </c>
      <c r="K52" s="127">
        <f t="shared" si="8"/>
        <v>5.4442193140794215</v>
      </c>
      <c r="L52" s="127">
        <f t="shared" si="8"/>
        <v>4.674309566787004</v>
      </c>
      <c r="M52" s="127">
        <f t="shared" si="8"/>
        <v>5.619742779783393</v>
      </c>
      <c r="N52" s="128">
        <f t="shared" si="8"/>
        <v>2.6617734657039711</v>
      </c>
      <c r="O52" s="128">
        <f t="shared" si="8"/>
        <v>5.5928158844765345</v>
      </c>
    </row>
    <row r="53" spans="2:15" ht="16.5" thickBot="1" x14ac:dyDescent="0.3">
      <c r="B53" s="99" t="s">
        <v>119</v>
      </c>
      <c r="C53" s="100" t="str">
        <f>"===="</f>
        <v>====</v>
      </c>
      <c r="D53" s="101" t="s">
        <v>120</v>
      </c>
      <c r="E53" s="101" t="s">
        <v>120</v>
      </c>
      <c r="F53" s="101" t="s">
        <v>120</v>
      </c>
      <c r="G53" s="101" t="s">
        <v>120</v>
      </c>
      <c r="H53" s="101" t="s">
        <v>120</v>
      </c>
      <c r="I53" s="98"/>
      <c r="J53" s="100" t="str">
        <f>"===="</f>
        <v>====</v>
      </c>
      <c r="K53" s="101" t="s">
        <v>120</v>
      </c>
      <c r="L53" s="101" t="s">
        <v>120</v>
      </c>
      <c r="M53" s="101" t="s">
        <v>120</v>
      </c>
      <c r="N53" s="101" t="s">
        <v>120</v>
      </c>
      <c r="O53" s="101" t="s">
        <v>120</v>
      </c>
    </row>
    <row r="54" spans="2:15" ht="15.75" x14ac:dyDescent="0.25">
      <c r="B54" s="130" t="s">
        <v>42</v>
      </c>
      <c r="C54" s="131"/>
      <c r="D54" s="132"/>
      <c r="E54" s="133"/>
      <c r="F54" s="133"/>
      <c r="G54" s="134"/>
      <c r="H54" s="134"/>
      <c r="I54" s="98"/>
      <c r="J54" s="135"/>
      <c r="K54" s="132"/>
      <c r="L54" s="133"/>
      <c r="M54" s="133"/>
      <c r="N54" s="134"/>
      <c r="O54" s="134"/>
    </row>
    <row r="55" spans="2:15" ht="15.75" x14ac:dyDescent="0.25">
      <c r="B55" s="99" t="s">
        <v>119</v>
      </c>
      <c r="C55" s="100" t="str">
        <f>"===="</f>
        <v>====</v>
      </c>
      <c r="D55" s="101" t="s">
        <v>120</v>
      </c>
      <c r="E55" s="101" t="s">
        <v>120</v>
      </c>
      <c r="F55" s="101" t="s">
        <v>120</v>
      </c>
      <c r="G55" s="101" t="s">
        <v>120</v>
      </c>
      <c r="H55" s="101" t="s">
        <v>120</v>
      </c>
      <c r="I55" s="98"/>
      <c r="J55" s="100" t="str">
        <f>"===="</f>
        <v>====</v>
      </c>
      <c r="K55" s="101" t="s">
        <v>120</v>
      </c>
      <c r="L55" s="101" t="s">
        <v>120</v>
      </c>
      <c r="M55" s="101" t="s">
        <v>120</v>
      </c>
      <c r="N55" s="101" t="s">
        <v>120</v>
      </c>
      <c r="O55" s="101" t="s">
        <v>120</v>
      </c>
    </row>
    <row r="56" spans="2:15" ht="15.75" x14ac:dyDescent="0.25">
      <c r="B56" s="115" t="s">
        <v>32</v>
      </c>
      <c r="C56" s="136">
        <v>11.01</v>
      </c>
      <c r="D56" s="137">
        <f>$C56*D$73/1000</f>
        <v>5.6665931444641329</v>
      </c>
      <c r="E56" s="138">
        <f t="shared" ref="E56:H60" si="10">$C56*E$73/1000</f>
        <v>4.749619235664027</v>
      </c>
      <c r="F56" s="138">
        <f t="shared" si="10"/>
        <v>5.7857295066159633</v>
      </c>
      <c r="G56" s="119">
        <f t="shared" si="10"/>
        <v>2.7782484811041401</v>
      </c>
      <c r="H56" s="119">
        <f t="shared" si="10"/>
        <v>5.8636959621778031</v>
      </c>
      <c r="I56" s="98"/>
      <c r="J56" s="139">
        <f>C56*(1-0.2)</f>
        <v>8.8079999999999998</v>
      </c>
      <c r="K56" s="137">
        <f>$J56*D$73/1000</f>
        <v>4.5332745155713061</v>
      </c>
      <c r="L56" s="138">
        <f>$J56*E$73/1000</f>
        <v>3.7996953885312217</v>
      </c>
      <c r="M56" s="138">
        <f>$J56*F$73/1000</f>
        <v>4.6285836052927705</v>
      </c>
      <c r="N56" s="119">
        <f>$J56*G$73/1000</f>
        <v>2.2225987848833118</v>
      </c>
      <c r="O56" s="119">
        <f>$J56*H$73/1000</f>
        <v>4.6909567697422423</v>
      </c>
    </row>
    <row r="57" spans="2:15" ht="15.75" x14ac:dyDescent="0.25">
      <c r="B57" s="115" t="s">
        <v>115</v>
      </c>
      <c r="C57" s="136">
        <v>11.57</v>
      </c>
      <c r="D57" s="137">
        <f>$C57*D$73/1000</f>
        <v>5.954812232647595</v>
      </c>
      <c r="E57" s="138">
        <f t="shared" si="10"/>
        <v>4.9911984156796363</v>
      </c>
      <c r="F57" s="138">
        <f t="shared" si="10"/>
        <v>6.0800082099497459</v>
      </c>
      <c r="G57" s="119">
        <f t="shared" si="10"/>
        <v>2.9195581222865488</v>
      </c>
      <c r="H57" s="119">
        <f t="shared" si="10"/>
        <v>6.1619402617981098</v>
      </c>
      <c r="I57" s="98"/>
      <c r="J57" s="139">
        <f t="shared" ref="J57:J60" si="11">C57*(1-0.2)</f>
        <v>9.2560000000000002</v>
      </c>
      <c r="K57" s="137">
        <f t="shared" ref="K57:O60" si="12">$J57*D$73/1000</f>
        <v>4.763849786118076</v>
      </c>
      <c r="L57" s="138">
        <f t="shared" si="12"/>
        <v>3.992958732543709</v>
      </c>
      <c r="M57" s="138">
        <f t="shared" si="12"/>
        <v>4.8640065679597964</v>
      </c>
      <c r="N57" s="119">
        <f t="shared" si="12"/>
        <v>2.3356464978292388</v>
      </c>
      <c r="O57" s="119">
        <f t="shared" si="12"/>
        <v>4.929552209438488</v>
      </c>
    </row>
    <row r="58" spans="2:15" ht="15.75" x14ac:dyDescent="0.25">
      <c r="B58" s="115" t="s">
        <v>114</v>
      </c>
      <c r="C58" s="136">
        <v>36.130000000000003</v>
      </c>
      <c r="D58" s="137">
        <f>$C58*D$73/1000</f>
        <v>18.595277957265136</v>
      </c>
      <c r="E58" s="138">
        <f t="shared" si="10"/>
        <v>15.586171024935632</v>
      </c>
      <c r="F58" s="138">
        <f t="shared" si="10"/>
        <v>18.986231341874188</v>
      </c>
      <c r="G58" s="119">
        <f t="shared" si="10"/>
        <v>9.1169952427150402</v>
      </c>
      <c r="H58" s="119">
        <f t="shared" si="10"/>
        <v>19.242083116574392</v>
      </c>
      <c r="I58" s="98"/>
      <c r="J58" s="139">
        <f t="shared" si="11"/>
        <v>28.904000000000003</v>
      </c>
      <c r="K58" s="137">
        <f t="shared" si="12"/>
        <v>14.87622236581211</v>
      </c>
      <c r="L58" s="138">
        <f t="shared" si="12"/>
        <v>12.468936819948507</v>
      </c>
      <c r="M58" s="138">
        <f t="shared" si="12"/>
        <v>15.188985073499349</v>
      </c>
      <c r="N58" s="119">
        <f t="shared" si="12"/>
        <v>7.2935961941720322</v>
      </c>
      <c r="O58" s="119">
        <f t="shared" si="12"/>
        <v>15.393666493259515</v>
      </c>
    </row>
    <row r="59" spans="2:15" ht="15.75" x14ac:dyDescent="0.25">
      <c r="B59" s="115" t="s">
        <v>33</v>
      </c>
      <c r="C59" s="136">
        <v>11.42</v>
      </c>
      <c r="D59" s="137">
        <f>$C59*D$73/1000</f>
        <v>5.877610691169882</v>
      </c>
      <c r="E59" s="138">
        <f t="shared" si="10"/>
        <v>4.9264897067468834</v>
      </c>
      <c r="F59" s="138">
        <f t="shared" si="10"/>
        <v>6.0011835572710543</v>
      </c>
      <c r="G59" s="119">
        <f t="shared" si="10"/>
        <v>2.8817073255412606</v>
      </c>
      <c r="H59" s="119">
        <f t="shared" si="10"/>
        <v>6.0820533958283853</v>
      </c>
      <c r="I59" s="98"/>
      <c r="J59" s="139">
        <f t="shared" si="11"/>
        <v>9.136000000000001</v>
      </c>
      <c r="K59" s="137">
        <f t="shared" si="12"/>
        <v>4.7020885529359058</v>
      </c>
      <c r="L59" s="138">
        <f t="shared" si="12"/>
        <v>3.9411917653975075</v>
      </c>
      <c r="M59" s="138">
        <f t="shared" si="12"/>
        <v>4.8009468458168438</v>
      </c>
      <c r="N59" s="119">
        <f t="shared" si="12"/>
        <v>2.305365860433009</v>
      </c>
      <c r="O59" s="119">
        <f t="shared" si="12"/>
        <v>4.8656427166627081</v>
      </c>
    </row>
    <row r="60" spans="2:15" ht="15.75" x14ac:dyDescent="0.25">
      <c r="B60" s="115" t="s">
        <v>34</v>
      </c>
      <c r="C60" s="136">
        <v>12.76</v>
      </c>
      <c r="D60" s="137">
        <f>$C60*D$73/1000</f>
        <v>6.5672777950374508</v>
      </c>
      <c r="E60" s="138">
        <f t="shared" si="10"/>
        <v>5.5045541732128047</v>
      </c>
      <c r="F60" s="138">
        <f t="shared" si="10"/>
        <v>6.7053504545340319</v>
      </c>
      <c r="G60" s="119">
        <f t="shared" si="10"/>
        <v>3.2198411097991668</v>
      </c>
      <c r="H60" s="119">
        <f t="shared" si="10"/>
        <v>6.79570939849126</v>
      </c>
      <c r="I60" s="98"/>
      <c r="J60" s="139">
        <f t="shared" si="11"/>
        <v>10.208</v>
      </c>
      <c r="K60" s="137">
        <f t="shared" si="12"/>
        <v>5.2538222360299605</v>
      </c>
      <c r="L60" s="138">
        <f t="shared" si="12"/>
        <v>4.4036433385702445</v>
      </c>
      <c r="M60" s="138">
        <f t="shared" si="12"/>
        <v>5.3642803636272252</v>
      </c>
      <c r="N60" s="119">
        <f t="shared" si="12"/>
        <v>2.5758728878393335</v>
      </c>
      <c r="O60" s="119">
        <f t="shared" si="12"/>
        <v>5.4365675187930087</v>
      </c>
    </row>
    <row r="61" spans="2:15" ht="16.5" thickBot="1" x14ac:dyDescent="0.3">
      <c r="B61" s="99" t="s">
        <v>119</v>
      </c>
      <c r="C61" s="100" t="str">
        <f>"===="</f>
        <v>====</v>
      </c>
      <c r="D61" s="101" t="s">
        <v>120</v>
      </c>
      <c r="E61" s="101" t="s">
        <v>120</v>
      </c>
      <c r="F61" s="101" t="s">
        <v>120</v>
      </c>
      <c r="G61" s="101" t="s">
        <v>120</v>
      </c>
      <c r="H61" s="101" t="s">
        <v>120</v>
      </c>
      <c r="I61" s="98"/>
      <c r="J61" s="100" t="str">
        <f>"===="</f>
        <v>====</v>
      </c>
      <c r="K61" s="101" t="s">
        <v>120</v>
      </c>
      <c r="L61" s="101" t="s">
        <v>120</v>
      </c>
      <c r="M61" s="101" t="s">
        <v>120</v>
      </c>
      <c r="N61" s="101" t="s">
        <v>120</v>
      </c>
      <c r="O61" s="101" t="s">
        <v>120</v>
      </c>
    </row>
    <row r="62" spans="2:15" ht="15.75" x14ac:dyDescent="0.25">
      <c r="B62" s="140" t="s">
        <v>43</v>
      </c>
      <c r="C62" s="131"/>
      <c r="D62" s="132"/>
      <c r="E62" s="133"/>
      <c r="F62" s="133"/>
      <c r="G62" s="134"/>
      <c r="H62" s="134"/>
      <c r="I62" s="98"/>
      <c r="J62" s="135"/>
      <c r="K62" s="132"/>
      <c r="L62" s="133"/>
      <c r="M62" s="133"/>
      <c r="N62" s="134"/>
      <c r="O62" s="134"/>
    </row>
    <row r="63" spans="2:15" ht="15.75" x14ac:dyDescent="0.25">
      <c r="B63" s="99" t="s">
        <v>119</v>
      </c>
      <c r="C63" s="100" t="str">
        <f>"===="</f>
        <v>====</v>
      </c>
      <c r="D63" s="101" t="s">
        <v>120</v>
      </c>
      <c r="E63" s="101" t="s">
        <v>120</v>
      </c>
      <c r="F63" s="101" t="s">
        <v>120</v>
      </c>
      <c r="G63" s="101" t="s">
        <v>120</v>
      </c>
      <c r="H63" s="101" t="s">
        <v>120</v>
      </c>
      <c r="I63" s="98"/>
      <c r="J63" s="100" t="str">
        <f>"===="</f>
        <v>====</v>
      </c>
      <c r="K63" s="101" t="s">
        <v>120</v>
      </c>
      <c r="L63" s="101" t="s">
        <v>120</v>
      </c>
      <c r="M63" s="101" t="s">
        <v>120</v>
      </c>
      <c r="N63" s="101" t="s">
        <v>120</v>
      </c>
      <c r="O63" s="101" t="s">
        <v>120</v>
      </c>
    </row>
    <row r="64" spans="2:15" ht="15.75" x14ac:dyDescent="0.25">
      <c r="B64" s="102" t="s">
        <v>35</v>
      </c>
      <c r="C64" s="103">
        <v>6.97</v>
      </c>
      <c r="D64" s="137">
        <f>$C64*D$73/1000</f>
        <v>3.5872982939977298</v>
      </c>
      <c r="E64" s="138">
        <f t="shared" ref="E64:H67" si="13">$C64*E$73/1000</f>
        <v>3.0067980084085622</v>
      </c>
      <c r="F64" s="138">
        <f t="shared" si="13"/>
        <v>3.6627188611365362</v>
      </c>
      <c r="G64" s="119">
        <f t="shared" si="13"/>
        <v>1.7588003554310496</v>
      </c>
      <c r="H64" s="119">
        <f t="shared" si="13"/>
        <v>3.7120763720598813</v>
      </c>
      <c r="I64" s="98"/>
      <c r="J64" s="107">
        <f>C64*(1-0.1)</f>
        <v>6.2729999999999997</v>
      </c>
      <c r="K64" s="137">
        <f>$J64*D$73/1000</f>
        <v>3.2285684645979567</v>
      </c>
      <c r="L64" s="138">
        <f>$J64*E$73/1000</f>
        <v>2.7061182075677057</v>
      </c>
      <c r="M64" s="138">
        <f>$J64*F$73/1000</f>
        <v>3.2964469750228829</v>
      </c>
      <c r="N64" s="119">
        <f>$J64*G$73/1000</f>
        <v>1.5829203198879445</v>
      </c>
      <c r="O64" s="119">
        <f>$J64*H$73/1000</f>
        <v>3.3408687348538928</v>
      </c>
    </row>
    <row r="65" spans="2:15" ht="15.75" x14ac:dyDescent="0.25">
      <c r="B65" s="102" t="s">
        <v>36</v>
      </c>
      <c r="C65" s="103">
        <v>1.5</v>
      </c>
      <c r="D65" s="137">
        <f>$C65*D$73/1000</f>
        <v>0.77201541477712976</v>
      </c>
      <c r="E65" s="138">
        <f t="shared" si="13"/>
        <v>0.64708708932752412</v>
      </c>
      <c r="F65" s="138">
        <f t="shared" si="13"/>
        <v>0.78824652678691609</v>
      </c>
      <c r="G65" s="119">
        <f t="shared" si="13"/>
        <v>0.37850796745288012</v>
      </c>
      <c r="H65" s="119">
        <f t="shared" si="13"/>
        <v>0.79886865969724841</v>
      </c>
      <c r="I65" s="98"/>
      <c r="J65" s="107">
        <f t="shared" ref="J65:J67" si="14">C65*(1-0.1)</f>
        <v>1.35</v>
      </c>
      <c r="K65" s="137">
        <f t="shared" ref="K65:O67" si="15">$J65*D$73/1000</f>
        <v>0.69481387329941691</v>
      </c>
      <c r="L65" s="138">
        <f t="shared" si="15"/>
        <v>0.58237838039477174</v>
      </c>
      <c r="M65" s="138">
        <f t="shared" si="15"/>
        <v>0.70942187410822455</v>
      </c>
      <c r="N65" s="119">
        <f t="shared" si="15"/>
        <v>0.34065717070759211</v>
      </c>
      <c r="O65" s="119">
        <f t="shared" si="15"/>
        <v>0.71898179372752358</v>
      </c>
    </row>
    <row r="66" spans="2:15" ht="15.75" x14ac:dyDescent="0.25">
      <c r="B66" s="102" t="s">
        <v>37</v>
      </c>
      <c r="C66" s="103">
        <v>4.96</v>
      </c>
      <c r="D66" s="137">
        <f>$C66*D$73/1000</f>
        <v>2.5527976381963757</v>
      </c>
      <c r="E66" s="138">
        <f t="shared" si="13"/>
        <v>2.1397013087096797</v>
      </c>
      <c r="F66" s="138">
        <f t="shared" si="13"/>
        <v>2.606468515242069</v>
      </c>
      <c r="G66" s="119">
        <f t="shared" si="13"/>
        <v>1.2515996790441901</v>
      </c>
      <c r="H66" s="119">
        <f t="shared" si="13"/>
        <v>2.6415923680655684</v>
      </c>
      <c r="I66" s="98"/>
      <c r="J66" s="107">
        <f t="shared" si="14"/>
        <v>4.4640000000000004</v>
      </c>
      <c r="K66" s="137">
        <f t="shared" si="15"/>
        <v>2.2975178743767386</v>
      </c>
      <c r="L66" s="138">
        <f t="shared" si="15"/>
        <v>1.9257311778387121</v>
      </c>
      <c r="M66" s="138">
        <f t="shared" si="15"/>
        <v>2.3458216637178624</v>
      </c>
      <c r="N66" s="119">
        <f t="shared" si="15"/>
        <v>1.1264397111397713</v>
      </c>
      <c r="O66" s="119">
        <f t="shared" si="15"/>
        <v>2.3774331312590116</v>
      </c>
    </row>
    <row r="67" spans="2:15" ht="15.75" x14ac:dyDescent="0.25">
      <c r="B67" s="102" t="s">
        <v>38</v>
      </c>
      <c r="C67" s="103">
        <v>3.82</v>
      </c>
      <c r="D67" s="137">
        <f>$C67*D$73/1000</f>
        <v>1.9660659229657571</v>
      </c>
      <c r="E67" s="138">
        <f t="shared" si="13"/>
        <v>1.6479151208207614</v>
      </c>
      <c r="F67" s="138">
        <f t="shared" si="13"/>
        <v>2.0074011548840129</v>
      </c>
      <c r="G67" s="119">
        <f t="shared" si="13"/>
        <v>0.96393362378000136</v>
      </c>
      <c r="H67" s="119">
        <f t="shared" si="13"/>
        <v>2.0344521866956593</v>
      </c>
      <c r="I67" s="98"/>
      <c r="J67" s="107">
        <f t="shared" si="14"/>
        <v>3.4379999999999997</v>
      </c>
      <c r="K67" s="137">
        <f t="shared" si="15"/>
        <v>1.7694593306691813</v>
      </c>
      <c r="L67" s="138">
        <f t="shared" si="15"/>
        <v>1.4831236087386854</v>
      </c>
      <c r="M67" s="138">
        <f t="shared" si="15"/>
        <v>1.8066610393956113</v>
      </c>
      <c r="N67" s="119">
        <f t="shared" si="15"/>
        <v>0.86754026140200124</v>
      </c>
      <c r="O67" s="119">
        <f t="shared" si="15"/>
        <v>1.8310069680260934</v>
      </c>
    </row>
    <row r="68" spans="2:15" ht="16.5" thickBot="1" x14ac:dyDescent="0.3">
      <c r="B68" s="99" t="s">
        <v>119</v>
      </c>
      <c r="C68" s="100" t="str">
        <f>"===="</f>
        <v>====</v>
      </c>
      <c r="D68" s="101" t="s">
        <v>120</v>
      </c>
      <c r="E68" s="101" t="s">
        <v>120</v>
      </c>
      <c r="F68" s="101" t="s">
        <v>120</v>
      </c>
      <c r="G68" s="101" t="s">
        <v>120</v>
      </c>
      <c r="H68" s="101" t="s">
        <v>120</v>
      </c>
      <c r="I68" s="98"/>
      <c r="J68" s="100" t="str">
        <f>"===="</f>
        <v>====</v>
      </c>
      <c r="K68" s="101" t="s">
        <v>120</v>
      </c>
      <c r="L68" s="101" t="s">
        <v>120</v>
      </c>
      <c r="M68" s="101" t="s">
        <v>120</v>
      </c>
      <c r="N68" s="101" t="s">
        <v>120</v>
      </c>
      <c r="O68" s="101" t="s">
        <v>120</v>
      </c>
    </row>
    <row r="69" spans="2:15" ht="15.75" x14ac:dyDescent="0.25">
      <c r="B69" s="141" t="s">
        <v>44</v>
      </c>
      <c r="C69" s="142"/>
      <c r="D69" s="143"/>
      <c r="E69" s="144"/>
      <c r="F69" s="144"/>
      <c r="G69" s="145"/>
      <c r="H69" s="145"/>
      <c r="I69" s="98"/>
      <c r="J69" s="146"/>
      <c r="K69" s="143"/>
      <c r="L69" s="144"/>
      <c r="M69" s="144"/>
      <c r="N69" s="145"/>
      <c r="O69" s="145"/>
    </row>
    <row r="70" spans="2:15" ht="15.75" x14ac:dyDescent="0.25">
      <c r="B70" s="99" t="s">
        <v>119</v>
      </c>
      <c r="C70" s="100" t="str">
        <f>"===="</f>
        <v>====</v>
      </c>
      <c r="D70" s="101" t="s">
        <v>120</v>
      </c>
      <c r="E70" s="101" t="s">
        <v>120</v>
      </c>
      <c r="F70" s="101" t="s">
        <v>120</v>
      </c>
      <c r="G70" s="101" t="s">
        <v>120</v>
      </c>
      <c r="H70" s="101" t="s">
        <v>120</v>
      </c>
      <c r="I70" s="98"/>
      <c r="J70" s="100" t="str">
        <f>"===="</f>
        <v>====</v>
      </c>
      <c r="K70" s="101" t="s">
        <v>120</v>
      </c>
      <c r="L70" s="101" t="s">
        <v>120</v>
      </c>
      <c r="M70" s="101" t="s">
        <v>120</v>
      </c>
      <c r="N70" s="101" t="s">
        <v>120</v>
      </c>
      <c r="O70" s="101" t="s">
        <v>120</v>
      </c>
    </row>
    <row r="71" spans="2:15" ht="15.75" x14ac:dyDescent="0.25">
      <c r="B71" s="115" t="s">
        <v>39</v>
      </c>
      <c r="C71" s="136">
        <v>8.17</v>
      </c>
      <c r="D71" s="104">
        <f>$C71*D$73</f>
        <v>4204.9106258194333</v>
      </c>
      <c r="E71" s="104">
        <f t="shared" ref="E71:H72" si="16">$C71*E$73</f>
        <v>3524.4676798705814</v>
      </c>
      <c r="F71" s="104">
        <f t="shared" si="16"/>
        <v>4293.3160825660689</v>
      </c>
      <c r="G71" s="104">
        <f t="shared" si="16"/>
        <v>2061.6067293933538</v>
      </c>
      <c r="H71" s="104">
        <f t="shared" si="16"/>
        <v>4351.1712998176799</v>
      </c>
      <c r="I71" s="98"/>
      <c r="J71" s="139">
        <f>C71*(1-0.15)</f>
        <v>6.9444999999999997</v>
      </c>
      <c r="K71" s="104">
        <f t="shared" ref="K71:O72" si="17">$J71*D$73</f>
        <v>3574.1740319465184</v>
      </c>
      <c r="L71" s="104">
        <f t="shared" si="17"/>
        <v>2995.7975278899944</v>
      </c>
      <c r="M71" s="104">
        <f t="shared" si="17"/>
        <v>3649.3186701811587</v>
      </c>
      <c r="N71" s="147">
        <f t="shared" si="17"/>
        <v>1752.3657199843506</v>
      </c>
      <c r="O71" s="147">
        <f t="shared" si="17"/>
        <v>3698.4956048450276</v>
      </c>
    </row>
    <row r="72" spans="2:15" ht="16.5" thickBot="1" x14ac:dyDescent="0.3">
      <c r="B72" s="148" t="s">
        <v>40</v>
      </c>
      <c r="C72" s="149">
        <v>5.63</v>
      </c>
      <c r="D72" s="104">
        <f>$C72*D$73</f>
        <v>2897.6311901301606</v>
      </c>
      <c r="E72" s="104">
        <f t="shared" si="16"/>
        <v>2428.7335419426404</v>
      </c>
      <c r="F72" s="104">
        <f t="shared" si="16"/>
        <v>2958.5519638735582</v>
      </c>
      <c r="G72" s="104">
        <f t="shared" si="16"/>
        <v>1420.6665711731434</v>
      </c>
      <c r="H72" s="104">
        <f t="shared" si="16"/>
        <v>2998.4203693970057</v>
      </c>
      <c r="I72" s="98"/>
      <c r="J72" s="150">
        <f>C72*(1-0.15)</f>
        <v>4.7854999999999999</v>
      </c>
      <c r="K72" s="151">
        <f t="shared" si="17"/>
        <v>2462.9865116106366</v>
      </c>
      <c r="L72" s="151">
        <f t="shared" si="17"/>
        <v>2064.4235106512447</v>
      </c>
      <c r="M72" s="151">
        <f t="shared" si="17"/>
        <v>2514.7691692925246</v>
      </c>
      <c r="N72" s="152">
        <f t="shared" si="17"/>
        <v>1207.5665854971719</v>
      </c>
      <c r="O72" s="152">
        <f t="shared" si="17"/>
        <v>2548.6573139874549</v>
      </c>
    </row>
    <row r="73" spans="2:15" ht="17.25" thickTop="1" thickBot="1" x14ac:dyDescent="0.3">
      <c r="B73" s="153" t="s">
        <v>41</v>
      </c>
      <c r="C73" s="154"/>
      <c r="D73" s="155">
        <v>514.67694318475321</v>
      </c>
      <c r="E73" s="156">
        <v>431.3913928850161</v>
      </c>
      <c r="F73" s="156">
        <v>525.49768452461069</v>
      </c>
      <c r="G73" s="157">
        <v>252.33864496858675</v>
      </c>
      <c r="H73" s="157">
        <v>532.57910646483231</v>
      </c>
      <c r="I73" s="98"/>
      <c r="J73" s="98"/>
      <c r="K73" s="98"/>
      <c r="L73" s="98"/>
      <c r="M73" s="98"/>
      <c r="N73" s="98"/>
      <c r="O73" s="98"/>
    </row>
    <row r="74" spans="2:15" ht="13.5" thickTop="1" x14ac:dyDescent="0.2"/>
    <row r="75" spans="2:15" x14ac:dyDescent="0.2">
      <c r="C75" s="31"/>
    </row>
  </sheetData>
  <sheetProtection selectLockedCells="1" selectUnlockedCells="1"/>
  <mergeCells count="2">
    <mergeCell ref="D4:H4"/>
    <mergeCell ref="K4:O4"/>
  </mergeCells>
  <phoneticPr fontId="4" type="noConversion"/>
  <printOptions horizontalCentered="1"/>
  <pageMargins left="0.7" right="0.7" top="0.75" bottom="0.75" header="0.3" footer="0.3"/>
  <pageSetup scale="4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D18"/>
  <sheetViews>
    <sheetView workbookViewId="0">
      <selection activeCell="C17" sqref="C17"/>
    </sheetView>
  </sheetViews>
  <sheetFormatPr defaultColWidth="8.85546875" defaultRowHeight="12.75" x14ac:dyDescent="0.2"/>
  <cols>
    <col min="1" max="1" width="8.85546875" style="3"/>
    <col min="2" max="3" width="20.7109375" style="3" customWidth="1"/>
    <col min="4" max="16384" width="8.85546875" style="3"/>
  </cols>
  <sheetData>
    <row r="1" spans="1:4" ht="18.75" x14ac:dyDescent="0.3">
      <c r="A1" s="1" t="s">
        <v>0</v>
      </c>
      <c r="C1" s="4"/>
      <c r="D1" s="4"/>
    </row>
    <row r="2" spans="1:4" x14ac:dyDescent="0.2">
      <c r="A2" s="2" t="s">
        <v>54</v>
      </c>
      <c r="C2" s="4"/>
      <c r="D2" s="4"/>
    </row>
    <row r="5" spans="1:4" x14ac:dyDescent="0.2">
      <c r="B5" s="6" t="s">
        <v>63</v>
      </c>
      <c r="C5" s="6" t="s">
        <v>64</v>
      </c>
    </row>
    <row r="6" spans="1:4" x14ac:dyDescent="0.2">
      <c r="B6" s="3" t="s">
        <v>65</v>
      </c>
      <c r="C6" s="5">
        <v>0</v>
      </c>
    </row>
    <row r="7" spans="1:4" x14ac:dyDescent="0.2">
      <c r="B7" s="3" t="s">
        <v>66</v>
      </c>
      <c r="C7" s="5">
        <v>0</v>
      </c>
    </row>
    <row r="8" spans="1:4" x14ac:dyDescent="0.2">
      <c r="B8" s="3" t="s">
        <v>50</v>
      </c>
      <c r="C8" s="5">
        <v>0</v>
      </c>
    </row>
    <row r="9" spans="1:4" x14ac:dyDescent="0.2">
      <c r="B9" s="3" t="s">
        <v>67</v>
      </c>
      <c r="C9" s="5">
        <v>0</v>
      </c>
    </row>
    <row r="10" spans="1:4" x14ac:dyDescent="0.2">
      <c r="B10" s="3" t="s">
        <v>68</v>
      </c>
      <c r="C10" s="5">
        <v>0</v>
      </c>
    </row>
    <row r="11" spans="1:4" x14ac:dyDescent="0.2">
      <c r="B11" s="3" t="s">
        <v>62</v>
      </c>
      <c r="C11" s="5">
        <v>0.11621574192477438</v>
      </c>
    </row>
    <row r="12" spans="1:4" x14ac:dyDescent="0.2">
      <c r="B12" s="3" t="s">
        <v>61</v>
      </c>
      <c r="C12" s="5">
        <v>0</v>
      </c>
    </row>
    <row r="13" spans="1:4" x14ac:dyDescent="0.2">
      <c r="B13" s="3" t="s">
        <v>69</v>
      </c>
      <c r="C13" s="5">
        <v>0</v>
      </c>
    </row>
    <row r="14" spans="1:4" x14ac:dyDescent="0.2">
      <c r="B14" s="3" t="s">
        <v>70</v>
      </c>
      <c r="C14" s="5">
        <v>0.45602564394328177</v>
      </c>
    </row>
    <row r="15" spans="1:4" x14ac:dyDescent="0.2">
      <c r="B15" s="3" t="s">
        <v>71</v>
      </c>
      <c r="C15" s="5">
        <v>0</v>
      </c>
    </row>
    <row r="16" spans="1:4" x14ac:dyDescent="0.2">
      <c r="B16" s="3" t="s">
        <v>72</v>
      </c>
      <c r="C16" s="5">
        <v>0</v>
      </c>
    </row>
    <row r="17" spans="2:3" x14ac:dyDescent="0.2">
      <c r="B17" s="3" t="s">
        <v>73</v>
      </c>
      <c r="C17" s="5">
        <v>0.49191386789201813</v>
      </c>
    </row>
    <row r="18" spans="2:3" x14ac:dyDescent="0.2">
      <c r="B18" s="3" t="s">
        <v>53</v>
      </c>
      <c r="C18" s="5">
        <v>0</v>
      </c>
    </row>
  </sheetData>
  <sheetProtection selectLockedCells="1" selectUnlockedCells="1"/>
  <phoneticPr fontId="4" type="noConversion"/>
  <pageMargins left="0.7" right="0.7" top="0.75" bottom="0.75" header="0.3" footer="0.3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P198"/>
  <sheetViews>
    <sheetView zoomScale="70" zoomScaleNormal="70" workbookViewId="0"/>
  </sheetViews>
  <sheetFormatPr defaultColWidth="9.140625" defaultRowHeight="12.75" x14ac:dyDescent="0.2"/>
  <cols>
    <col min="1" max="1" width="9.140625" style="3" customWidth="1"/>
    <col min="2" max="13" width="9.140625" style="3"/>
    <col min="14" max="14" width="4.28515625" style="3" customWidth="1"/>
    <col min="15" max="16" width="6.7109375" style="3" customWidth="1"/>
    <col min="17" max="16384" width="9.140625" style="3"/>
  </cols>
  <sheetData>
    <row r="1" spans="1:14" s="26" customFormat="1" ht="18.75" x14ac:dyDescent="0.3">
      <c r="A1" s="1" t="s">
        <v>0</v>
      </c>
      <c r="C1" s="27"/>
      <c r="D1" s="27"/>
      <c r="E1" s="27"/>
    </row>
    <row r="2" spans="1:14" x14ac:dyDescent="0.2">
      <c r="A2" s="2" t="s">
        <v>82</v>
      </c>
      <c r="C2" s="4"/>
      <c r="D2" s="4"/>
      <c r="E2" s="4"/>
    </row>
    <row r="3" spans="1:14" x14ac:dyDescent="0.2">
      <c r="A3" s="3" t="s">
        <v>101</v>
      </c>
    </row>
    <row r="5" spans="1:14" s="26" customFormat="1" ht="18.75" x14ac:dyDescent="0.3">
      <c r="B5" s="202" t="s">
        <v>84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1:14" x14ac:dyDescent="0.2">
      <c r="B6" s="203" t="s">
        <v>81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26" spans="2:16" x14ac:dyDescent="0.2">
      <c r="O26" s="200" t="s">
        <v>116</v>
      </c>
      <c r="P26" s="200"/>
    </row>
    <row r="29" spans="2:16" s="26" customFormat="1" ht="18.75" x14ac:dyDescent="0.3">
      <c r="B29" s="202" t="s">
        <v>85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</row>
    <row r="30" spans="2:16" x14ac:dyDescent="0.2">
      <c r="B30" s="203" t="s">
        <v>83</v>
      </c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50" spans="2:16" x14ac:dyDescent="0.2">
      <c r="O50" s="200" t="s">
        <v>116</v>
      </c>
      <c r="P50" s="200"/>
    </row>
    <row r="53" spans="2:16" s="26" customFormat="1" ht="18.75" x14ac:dyDescent="0.3">
      <c r="B53" s="202" t="s">
        <v>86</v>
      </c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</row>
    <row r="54" spans="2:16" x14ac:dyDescent="0.2">
      <c r="B54" s="203" t="s">
        <v>88</v>
      </c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</row>
    <row r="74" spans="2:16" x14ac:dyDescent="0.2">
      <c r="O74" s="200" t="s">
        <v>116</v>
      </c>
      <c r="P74" s="200"/>
    </row>
    <row r="77" spans="2:16" s="26" customFormat="1" ht="18.75" x14ac:dyDescent="0.3">
      <c r="B77" s="202" t="s">
        <v>87</v>
      </c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</row>
    <row r="78" spans="2:16" ht="30" customHeight="1" x14ac:dyDescent="0.2">
      <c r="B78" s="201" t="s">
        <v>89</v>
      </c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</row>
    <row r="98" spans="2:16" x14ac:dyDescent="0.2">
      <c r="O98" s="200" t="s">
        <v>116</v>
      </c>
      <c r="P98" s="200"/>
    </row>
    <row r="101" spans="2:16" s="26" customFormat="1" ht="18.75" x14ac:dyDescent="0.3">
      <c r="B101" s="202" t="s">
        <v>91</v>
      </c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</row>
    <row r="102" spans="2:16" ht="30" customHeight="1" x14ac:dyDescent="0.2">
      <c r="B102" s="201" t="s">
        <v>92</v>
      </c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</row>
    <row r="122" spans="2:16" x14ac:dyDescent="0.2">
      <c r="O122" s="200" t="s">
        <v>116</v>
      </c>
      <c r="P122" s="200"/>
    </row>
    <row r="125" spans="2:16" s="26" customFormat="1" ht="18.75" x14ac:dyDescent="0.3">
      <c r="B125" s="202" t="s">
        <v>93</v>
      </c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</row>
    <row r="126" spans="2:16" ht="30" customHeight="1" x14ac:dyDescent="0.2">
      <c r="B126" s="201" t="s">
        <v>90</v>
      </c>
      <c r="C126" s="201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46" spans="2:16" x14ac:dyDescent="0.2">
      <c r="O146" s="200" t="s">
        <v>116</v>
      </c>
      <c r="P146" s="200"/>
    </row>
    <row r="149" spans="2:16" s="26" customFormat="1" ht="18.75" x14ac:dyDescent="0.3">
      <c r="B149" s="202" t="s">
        <v>94</v>
      </c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</row>
    <row r="150" spans="2:16" ht="54" customHeight="1" x14ac:dyDescent="0.2">
      <c r="B150" s="201" t="s">
        <v>95</v>
      </c>
      <c r="C150" s="201"/>
      <c r="D150" s="201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</row>
    <row r="170" spans="2:16" x14ac:dyDescent="0.2">
      <c r="O170" s="200" t="s">
        <v>116</v>
      </c>
      <c r="P170" s="200"/>
    </row>
    <row r="173" spans="2:16" s="26" customFormat="1" ht="18.75" x14ac:dyDescent="0.3">
      <c r="B173" s="202" t="s">
        <v>97</v>
      </c>
      <c r="C173" s="202"/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</row>
    <row r="174" spans="2:16" x14ac:dyDescent="0.2">
      <c r="B174" s="203" t="s">
        <v>98</v>
      </c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</row>
    <row r="194" spans="2:16" x14ac:dyDescent="0.2">
      <c r="O194" s="200" t="s">
        <v>116</v>
      </c>
      <c r="P194" s="200"/>
    </row>
    <row r="197" spans="2:16" s="26" customFormat="1" ht="18.75" x14ac:dyDescent="0.3">
      <c r="B197" s="202" t="s">
        <v>99</v>
      </c>
      <c r="C197" s="202"/>
      <c r="D197" s="202"/>
      <c r="E197" s="202"/>
      <c r="F197" s="202"/>
      <c r="G197" s="202"/>
      <c r="H197" s="202"/>
      <c r="I197" s="202"/>
      <c r="J197" s="202"/>
      <c r="K197" s="202"/>
      <c r="L197" s="202"/>
      <c r="M197" s="202"/>
      <c r="N197" s="202"/>
    </row>
    <row r="198" spans="2:16" ht="30" customHeight="1" x14ac:dyDescent="0.2">
      <c r="B198" s="201" t="s">
        <v>100</v>
      </c>
      <c r="C198" s="201"/>
      <c r="D198" s="201"/>
      <c r="E198" s="201"/>
      <c r="F198" s="201"/>
      <c r="G198" s="201"/>
      <c r="H198" s="201"/>
      <c r="I198" s="201"/>
      <c r="J198" s="201"/>
      <c r="K198" s="201"/>
      <c r="L198" s="201"/>
      <c r="M198" s="201"/>
      <c r="N198" s="201"/>
    </row>
  </sheetData>
  <sheetProtection password="CA7B" sheet="1" objects="1" scenarios="1" selectLockedCells="1" selectUnlockedCells="1"/>
  <mergeCells count="26">
    <mergeCell ref="B54:N54"/>
    <mergeCell ref="B5:N5"/>
    <mergeCell ref="B6:N6"/>
    <mergeCell ref="B29:N29"/>
    <mergeCell ref="B30:N30"/>
    <mergeCell ref="B53:N53"/>
    <mergeCell ref="B198:N198"/>
    <mergeCell ref="B77:N77"/>
    <mergeCell ref="B78:N78"/>
    <mergeCell ref="B101:N101"/>
    <mergeCell ref="B102:N102"/>
    <mergeCell ref="B125:N125"/>
    <mergeCell ref="B126:N126"/>
    <mergeCell ref="B149:N149"/>
    <mergeCell ref="B150:N150"/>
    <mergeCell ref="B173:N173"/>
    <mergeCell ref="B174:N174"/>
    <mergeCell ref="B197:N197"/>
    <mergeCell ref="O170:P170"/>
    <mergeCell ref="O194:P194"/>
    <mergeCell ref="O26:P26"/>
    <mergeCell ref="O50:P50"/>
    <mergeCell ref="O74:P74"/>
    <mergeCell ref="O98:P98"/>
    <mergeCell ref="O122:P122"/>
    <mergeCell ref="O146:P146"/>
  </mergeCells>
  <pageMargins left="0.7" right="0.7" top="0.75" bottom="0.75" header="0.3" footer="0.3"/>
  <pageSetup scale="94" orientation="landscape" r:id="rId1"/>
  <rowBreaks count="8" manualBreakCount="8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A18C41AAC3418EBFC4D13CA3E59E" ma:contentTypeVersion="10" ma:contentTypeDescription="Create a new document." ma:contentTypeScope="" ma:versionID="212c7d9d75ab699eabec2e0b81eaf294">
  <xsd:schema xmlns:xsd="http://www.w3.org/2001/XMLSchema" xmlns:xs="http://www.w3.org/2001/XMLSchema" xmlns:p="http://schemas.microsoft.com/office/2006/metadata/properties" xmlns:ns2="dc22578f-816f-46db-a965-a1ef8daeb1c2" xmlns:ns3="faf2dff7-1506-4aa5-8991-bbb7af5dd8fc" targetNamespace="http://schemas.microsoft.com/office/2006/metadata/properties" ma:root="true" ma:fieldsID="c5075f58acac4d5ecdd12ecb5b31d903" ns2:_="" ns3:_="">
    <xsd:import namespace="dc22578f-816f-46db-a965-a1ef8daeb1c2"/>
    <xsd:import namespace="faf2dff7-1506-4aa5-8991-bbb7af5dd8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2578f-816f-46db-a965-a1ef8daeb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2dff7-1506-4aa5-8991-bbb7af5dd8f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5B83D5-6121-4645-AF35-A24784DE5CB3}">
  <ds:schemaRefs>
    <ds:schemaRef ds:uri="http://schemas.microsoft.com/office/2006/metadata/properties"/>
    <ds:schemaRef ds:uri="http://schemas.microsoft.com/office/infopath/2007/PartnerControls"/>
    <ds:schemaRef ds:uri="faf2dff7-1506-4aa5-8991-bbb7af5dd8fc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dc22578f-816f-46db-a965-a1ef8daeb1c2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7D6038D-4AA9-433C-A273-D2B95B680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901F90-0C56-4526-AD19-5D0D3FB1BFA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c22578f-816f-46db-a965-a1ef8daeb1c2"/>
    <ds:schemaRef ds:uri="faf2dff7-1506-4aa5-8991-bbb7af5dd8f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ADU Dev Fees</vt:lpstr>
      <vt:lpstr>Worksheet</vt:lpstr>
      <vt:lpstr>Fee Schedule</vt:lpstr>
      <vt:lpstr>Discounts</vt:lpstr>
      <vt:lpstr>Instructions</vt:lpstr>
      <vt:lpstr>Agencies</vt:lpstr>
      <vt:lpstr>FeeValues</vt:lpstr>
      <vt:lpstr>FeeValuesInfill</vt:lpstr>
      <vt:lpstr>LandUses</vt:lpstr>
      <vt:lpstr>'ADU Dev Fees'!Print_Area</vt:lpstr>
      <vt:lpstr>Instructions!Print_Area</vt:lpstr>
      <vt:lpstr>Instructions!Print_Titles</vt:lpstr>
      <vt:lpstr>Zones</vt:lpstr>
      <vt:lpstr>ZonesInfill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Zeller</dc:creator>
  <cp:lastModifiedBy>Gaynda Gomez</cp:lastModifiedBy>
  <cp:lastPrinted>2018-12-18T21:26:53Z</cp:lastPrinted>
  <dcterms:created xsi:type="dcterms:W3CDTF">2008-08-13T21:42:37Z</dcterms:created>
  <dcterms:modified xsi:type="dcterms:W3CDTF">2025-09-29T18:06:46Z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0x0101009A89A18C41AAC3418EBFC4D13CA3E59E</vt:lpwstr>
  </property>
</Properties>
</file>